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水理計算書" sheetId="1" r:id="rId1"/>
    <sheet name="共同住宅(例1）" sheetId="2" r:id="rId2"/>
    <sheet name="共同住宅(例1） (2)" sheetId="3" r:id="rId3"/>
    <sheet name="共同住宅(例1） (4)" sheetId="4" r:id="rId4"/>
    <sheet name="共同住宅(例1） (3)" sheetId="5" r:id="rId5"/>
    <sheet name="φ50以下損失水頭" sheetId="6" r:id="rId6"/>
    <sheet name="戸建て" sheetId="7" r:id="rId7"/>
  </sheets>
  <externalReferences>
    <externalReference r:id="rId10"/>
  </externalReferences>
  <definedNames>
    <definedName name="_xlnm.Print_Area" localSheetId="1">'共同住宅(例1）'!$A$1:$R$70</definedName>
    <definedName name="_xlnm.Print_Area" localSheetId="2">'共同住宅(例1） (2)'!$A$1:$R$70</definedName>
    <definedName name="_xlnm.Print_Area" localSheetId="4">'共同住宅(例1） (3)'!$A$1:$R$75</definedName>
    <definedName name="_xlnm.Print_Area" localSheetId="3">'共同住宅(例1） (4)'!$A$1:$R$75</definedName>
    <definedName name="_xlnm.Print_Area" localSheetId="6">'戸建て'!$A$1:$N$61</definedName>
    <definedName name="_xlnm.Print_Area" localSheetId="0">'水理計算書'!$A$1:$R$67</definedName>
  </definedNames>
  <calcPr fullCalcOnLoad="1"/>
</workbook>
</file>

<file path=xl/comments6.xml><?xml version="1.0" encoding="utf-8"?>
<comments xmlns="http://schemas.openxmlformats.org/spreadsheetml/2006/main">
  <authors>
    <author>tsurugi</author>
  </authors>
  <commentList>
    <comment ref="P4" authorId="0">
      <text>
        <r>
          <rPr>
            <sz val="9"/>
            <rFont val="ＭＳ Ｐゴシック"/>
            <family val="3"/>
          </rPr>
          <t>動水勾配</t>
        </r>
      </text>
    </comment>
  </commentList>
</comments>
</file>

<file path=xl/sharedStrings.xml><?xml version="1.0" encoding="utf-8"?>
<sst xmlns="http://schemas.openxmlformats.org/spreadsheetml/2006/main" count="842" uniqueCount="319">
  <si>
    <t>流量</t>
  </si>
  <si>
    <t>損失水頭</t>
  </si>
  <si>
    <t>区間所要水頭</t>
  </si>
  <si>
    <t>D</t>
  </si>
  <si>
    <t>A</t>
  </si>
  <si>
    <t>区間及び器具</t>
  </si>
  <si>
    <t>-</t>
  </si>
  <si>
    <t>口径</t>
  </si>
  <si>
    <t>口径mm</t>
  </si>
  <si>
    <t>個数</t>
  </si>
  <si>
    <t>番号</t>
  </si>
  <si>
    <t>B</t>
  </si>
  <si>
    <t>C</t>
  </si>
  <si>
    <t>E</t>
  </si>
  <si>
    <t>F</t>
  </si>
  <si>
    <t>G</t>
  </si>
  <si>
    <t>H</t>
  </si>
  <si>
    <t>記号</t>
  </si>
  <si>
    <t>器具名称</t>
  </si>
  <si>
    <t>手洗い器</t>
  </si>
  <si>
    <t>台所流し</t>
  </si>
  <si>
    <t>浴槽</t>
  </si>
  <si>
    <t>同時使用</t>
  </si>
  <si>
    <t>I</t>
  </si>
  <si>
    <t>J</t>
  </si>
  <si>
    <t>管延長</t>
  </si>
  <si>
    <t>動水勾配</t>
  </si>
  <si>
    <t>mm</t>
  </si>
  <si>
    <t>ℓ/s</t>
  </si>
  <si>
    <t>分岐点の所要水頭</t>
  </si>
  <si>
    <t>m</t>
  </si>
  <si>
    <t>‰</t>
  </si>
  <si>
    <t>1日最大使用水量</t>
  </si>
  <si>
    <t>水　理　計　算　書</t>
  </si>
  <si>
    <t>損失水頭の計算</t>
  </si>
  <si>
    <t>計</t>
  </si>
  <si>
    <t>計</t>
  </si>
  <si>
    <t>残存水頭</t>
  </si>
  <si>
    <t>図面別紙参照</t>
  </si>
  <si>
    <t>大便器（ﾛｰﾀﾝｸ）</t>
  </si>
  <si>
    <t>大便器（ﾀﾝｸﾚｽ）</t>
  </si>
  <si>
    <t>洗濯機水栓</t>
  </si>
  <si>
    <t>ℓ/min</t>
  </si>
  <si>
    <t>給水用具の損失水頭</t>
  </si>
  <si>
    <t>給水用具の損失水頭</t>
  </si>
  <si>
    <t>H点</t>
  </si>
  <si>
    <t>○</t>
  </si>
  <si>
    <t>-</t>
  </si>
  <si>
    <t>A</t>
  </si>
  <si>
    <t>G</t>
  </si>
  <si>
    <t>H</t>
  </si>
  <si>
    <t>立上げ</t>
  </si>
  <si>
    <t>給水栓C</t>
  </si>
  <si>
    <t>C</t>
  </si>
  <si>
    <t>I</t>
  </si>
  <si>
    <t>給水栓A</t>
  </si>
  <si>
    <t>給水栓E</t>
  </si>
  <si>
    <t>E</t>
  </si>
  <si>
    <t>I</t>
  </si>
  <si>
    <t>I点</t>
  </si>
  <si>
    <t>A</t>
  </si>
  <si>
    <t>2.56+5.74=</t>
  </si>
  <si>
    <t>I</t>
  </si>
  <si>
    <t>J</t>
  </si>
  <si>
    <t>ﾒｰﾀｰ用自在継手</t>
  </si>
  <si>
    <t>止水栓</t>
  </si>
  <si>
    <t>ﾒｰﾀｰ</t>
  </si>
  <si>
    <t>ﾎﾞｰﾙ止水</t>
  </si>
  <si>
    <t>サドル分水栓</t>
  </si>
  <si>
    <t>J点</t>
  </si>
  <si>
    <t>合　計</t>
  </si>
  <si>
    <t>8.30+5.18=</t>
  </si>
  <si>
    <t>確認</t>
  </si>
  <si>
    <t>≒</t>
  </si>
  <si>
    <r>
      <t>m</t>
    </r>
    <r>
      <rPr>
        <vertAlign val="superscript"/>
        <sz val="11"/>
        <rFont val="ＭＳ Ｐゴシック"/>
        <family val="3"/>
      </rPr>
      <t>3</t>
    </r>
  </si>
  <si>
    <t>0.25㍑×4人=</t>
  </si>
  <si>
    <t>　○給水管の損失水頭</t>
  </si>
  <si>
    <t>50ｍｍ以下・・・ウェストン公式</t>
  </si>
  <si>
    <t>青字入力</t>
  </si>
  <si>
    <t>ｈ：</t>
  </si>
  <si>
    <t>管の摩擦損失水頭</t>
  </si>
  <si>
    <t>（ｍ）</t>
  </si>
  <si>
    <t>=</t>
  </si>
  <si>
    <t>(‰)</t>
  </si>
  <si>
    <t>Ｖ：</t>
  </si>
  <si>
    <t>管内の平均流速</t>
  </si>
  <si>
    <t>（ｍ/sec）</t>
  </si>
  <si>
    <t>=</t>
  </si>
  <si>
    <t>Ｌ：</t>
  </si>
  <si>
    <t>管の長さ</t>
  </si>
  <si>
    <t>（ｍ）</t>
  </si>
  <si>
    <t>Ｄ：</t>
  </si>
  <si>
    <t>管の口径</t>
  </si>
  <si>
    <t>（ｍ）</t>
  </si>
  <si>
    <t>ｇ：</t>
  </si>
  <si>
    <t>重力の加速度</t>
  </si>
  <si>
    <t>（9.8m/sec）</t>
  </si>
  <si>
    <t>2g</t>
  </si>
  <si>
    <t>=</t>
  </si>
  <si>
    <t>Ｑ：</t>
  </si>
  <si>
    <r>
      <t>（ｍ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/sec）</t>
    </r>
  </si>
  <si>
    <t>(ℓ/sec)</t>
  </si>
  <si>
    <t>(ℓ/min)</t>
  </si>
  <si>
    <t>h=</t>
  </si>
  <si>
    <r>
      <t>（0.0126+0.01739-0.1087×D/√V）×L/D×V^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/2g</t>
    </r>
  </si>
  <si>
    <t>Q=</t>
  </si>
  <si>
    <r>
      <t>（π・D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/4）×V</t>
    </r>
  </si>
  <si>
    <t>V=</t>
  </si>
  <si>
    <r>
      <t>(</t>
    </r>
    <r>
      <rPr>
        <sz val="11"/>
        <rFont val="ＭＳ Ｐゴシック"/>
        <family val="3"/>
      </rPr>
      <t>4/πD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)・Q</t>
    </r>
  </si>
  <si>
    <t>m/sec</t>
  </si>
  <si>
    <t>○</t>
  </si>
  <si>
    <t>B</t>
  </si>
  <si>
    <t>≒</t>
  </si>
  <si>
    <t>設計条件</t>
  </si>
  <si>
    <t>※同時使用水量計算</t>
  </si>
  <si>
    <t>風呂</t>
  </si>
  <si>
    <t>洗濯</t>
  </si>
  <si>
    <t>D</t>
  </si>
  <si>
    <t>ﾎﾞｰﾙ止水栓</t>
  </si>
  <si>
    <t>小計</t>
  </si>
  <si>
    <t>立上り高さ</t>
  </si>
  <si>
    <t>その他機材損失</t>
  </si>
  <si>
    <t>②</t>
  </si>
  <si>
    <t>⑥</t>
  </si>
  <si>
    <t>洗面</t>
  </si>
  <si>
    <t>　1個当りの給水器具数6栓</t>
  </si>
  <si>
    <t>　水栓使用率を考慮した水洗数＝3</t>
  </si>
  <si>
    <t>ℓ/s</t>
  </si>
  <si>
    <t>　給水用具1個当りの使用水量を7ℓ/minとする。</t>
  </si>
  <si>
    <t>ボール止水栓</t>
  </si>
  <si>
    <t>単式逆支弁</t>
  </si>
  <si>
    <t>大便器（LT)</t>
  </si>
  <si>
    <t>サドル分水洗</t>
  </si>
  <si>
    <t>メーター</t>
  </si>
  <si>
    <t>PE</t>
  </si>
  <si>
    <t>ｴﾙﾎﾞ・ﾁｰｽﾞ</t>
  </si>
  <si>
    <t>50-40</t>
  </si>
  <si>
    <t>ﾁｰｽﾞ</t>
  </si>
  <si>
    <t>7ℓ×3栓×（12戸×0.8）</t>
  </si>
  <si>
    <t>ℓ/min</t>
  </si>
  <si>
    <t>7ℓ×3栓×（6戸×0.9）</t>
  </si>
  <si>
    <t>7ℓ×3栓×（4戸×0.9）</t>
  </si>
  <si>
    <t>7ℓ×3栓</t>
  </si>
  <si>
    <t>7ℓ×2栓</t>
  </si>
  <si>
    <t>7ℓ×1栓</t>
  </si>
  <si>
    <t>ﾚｼﾞｭｰｻｰ</t>
  </si>
  <si>
    <t>F</t>
  </si>
  <si>
    <t>逆支弁</t>
  </si>
  <si>
    <t>水栓</t>
  </si>
  <si>
    <t>20-13</t>
  </si>
  <si>
    <t>管内流速</t>
  </si>
  <si>
    <t>ℓ/min</t>
  </si>
  <si>
    <t>ℓ/s</t>
  </si>
  <si>
    <t>①</t>
  </si>
  <si>
    <t>③</t>
  </si>
  <si>
    <t>④</t>
  </si>
  <si>
    <t>⑥</t>
  </si>
  <si>
    <t>A-B</t>
  </si>
  <si>
    <t>=</t>
  </si>
  <si>
    <t>B-C</t>
  </si>
  <si>
    <t>C-D</t>
  </si>
  <si>
    <t>D-E</t>
  </si>
  <si>
    <t>E-F</t>
  </si>
  <si>
    <t>mm</t>
  </si>
  <si>
    <t>m</t>
  </si>
  <si>
    <t>m/s</t>
  </si>
  <si>
    <t>A</t>
  </si>
  <si>
    <t>-</t>
  </si>
  <si>
    <t>B</t>
  </si>
  <si>
    <t>PE</t>
  </si>
  <si>
    <t>メーター</t>
  </si>
  <si>
    <t>C</t>
  </si>
  <si>
    <t>-</t>
  </si>
  <si>
    <t>D</t>
  </si>
  <si>
    <t>VP</t>
  </si>
  <si>
    <t>ﾁｰｽﾞ</t>
  </si>
  <si>
    <t>E</t>
  </si>
  <si>
    <t>ﾚｼﾞｭｰｻｰ</t>
  </si>
  <si>
    <t>F</t>
  </si>
  <si>
    <t>25-20</t>
  </si>
  <si>
    <t>VP</t>
  </si>
  <si>
    <t>=</t>
  </si>
  <si>
    <t>×</t>
  </si>
  <si>
    <t>＝</t>
  </si>
  <si>
    <t>［m3/d］</t>
  </si>
  <si>
    <t>　1個当りの給水器具数　栓</t>
  </si>
  <si>
    <t>　水栓使用率を考慮した水洗数＝</t>
  </si>
  <si>
    <t>(mm)</t>
  </si>
  <si>
    <t>○</t>
  </si>
  <si>
    <t>⑤</t>
  </si>
  <si>
    <t>○</t>
  </si>
  <si>
    <t>=</t>
  </si>
  <si>
    <t>ℓ/s</t>
  </si>
  <si>
    <t>F-G</t>
  </si>
  <si>
    <t>G-⑥</t>
  </si>
  <si>
    <t>シャワー</t>
  </si>
  <si>
    <t>平均</t>
  </si>
  <si>
    <t>　1戸当りの給水器具数6栓。</t>
  </si>
  <si>
    <t>　大便器（LT)は同時使用水量計算から除外。</t>
  </si>
  <si>
    <t>　水栓使用率を考慮した水洗数＝2</t>
  </si>
  <si>
    <t>　20ℓ/戸と仮定する。</t>
  </si>
  <si>
    <t>20ℓ×12戸×0.8</t>
  </si>
  <si>
    <t>20ℓ×6戸×0.9</t>
  </si>
  <si>
    <t>20ℓ×4戸×0.9</t>
  </si>
  <si>
    <t>8ℓ</t>
  </si>
  <si>
    <t>12ℓ+8ℓ</t>
  </si>
  <si>
    <t>共同住宅3階建て単身用12戸</t>
  </si>
  <si>
    <t>BLで計算した場合</t>
  </si>
  <si>
    <t>②</t>
  </si>
  <si>
    <t>④</t>
  </si>
  <si>
    <t>⑤</t>
  </si>
  <si>
    <t>⑥</t>
  </si>
  <si>
    <t>シャワー</t>
  </si>
  <si>
    <t>○</t>
  </si>
  <si>
    <t>=</t>
  </si>
  <si>
    <t>ℓ/s</t>
  </si>
  <si>
    <t>B-C</t>
  </si>
  <si>
    <t>C-D</t>
  </si>
  <si>
    <t>E-F</t>
  </si>
  <si>
    <t>12ℓ+8ℓ</t>
  </si>
  <si>
    <t>F-G</t>
  </si>
  <si>
    <t>8ℓ</t>
  </si>
  <si>
    <t>共同住宅3階建て単身用18戸</t>
  </si>
  <si>
    <t>G-H</t>
  </si>
  <si>
    <t>H-⑥</t>
  </si>
  <si>
    <t>A-B</t>
  </si>
  <si>
    <t>20ℓ×18戸×0.8</t>
  </si>
  <si>
    <t>20ℓ×2戸×1.0</t>
  </si>
  <si>
    <t>7ℓ×3栓×（2戸×1.0）</t>
  </si>
  <si>
    <t>BL基準で計算した場合</t>
  </si>
  <si>
    <t>⑤</t>
  </si>
  <si>
    <t>=</t>
  </si>
  <si>
    <t>ℓ/s</t>
  </si>
  <si>
    <t>⑥</t>
  </si>
  <si>
    <t>シャワー</t>
  </si>
  <si>
    <t>○</t>
  </si>
  <si>
    <t>B-C</t>
  </si>
  <si>
    <t>C-D</t>
  </si>
  <si>
    <t>D-E</t>
  </si>
  <si>
    <t>E-F</t>
  </si>
  <si>
    <t>F-G</t>
  </si>
  <si>
    <t>12ℓ+8ℓ</t>
  </si>
  <si>
    <t>G-H</t>
  </si>
  <si>
    <t>H-⑥</t>
  </si>
  <si>
    <t>8ℓ</t>
  </si>
  <si>
    <t>G</t>
  </si>
  <si>
    <t>19×18戸^0.67</t>
  </si>
  <si>
    <t>19×12戸^0.67</t>
  </si>
  <si>
    <t>共同住宅3階建て、ﾌｧﾐﾘｰﾀｲﾌﾟ、12戸</t>
  </si>
  <si>
    <t>ℓ/min</t>
  </si>
  <si>
    <t>ℓ/s</t>
  </si>
  <si>
    <t>①</t>
  </si>
  <si>
    <t>○</t>
  </si>
  <si>
    <t>③</t>
  </si>
  <si>
    <t>○</t>
  </si>
  <si>
    <t>④</t>
  </si>
  <si>
    <t>⑤</t>
  </si>
  <si>
    <t>⑥</t>
  </si>
  <si>
    <t>○</t>
  </si>
  <si>
    <t>A-B</t>
  </si>
  <si>
    <t>=</t>
  </si>
  <si>
    <t>ℓ/s</t>
  </si>
  <si>
    <t>B-C</t>
  </si>
  <si>
    <t>C-D</t>
  </si>
  <si>
    <t>D-E</t>
  </si>
  <si>
    <t>E-F</t>
  </si>
  <si>
    <t>F-G</t>
  </si>
  <si>
    <t>G-⑥</t>
  </si>
  <si>
    <t>mm</t>
  </si>
  <si>
    <t>m</t>
  </si>
  <si>
    <t>m/s</t>
  </si>
  <si>
    <t>メーター</t>
  </si>
  <si>
    <t>B</t>
  </si>
  <si>
    <t>-</t>
  </si>
  <si>
    <t>C</t>
  </si>
  <si>
    <t>PE</t>
  </si>
  <si>
    <t>ﾚｼﾞｭｰｻｰ</t>
  </si>
  <si>
    <t>50-40</t>
  </si>
  <si>
    <t>ｴﾙﾎﾞ・ﾁｰｽﾞ</t>
  </si>
  <si>
    <t>C</t>
  </si>
  <si>
    <t>-</t>
  </si>
  <si>
    <t>D</t>
  </si>
  <si>
    <t>VP</t>
  </si>
  <si>
    <t>ﾁｰｽﾞ</t>
  </si>
  <si>
    <t>E</t>
  </si>
  <si>
    <t>ﾚｼﾞｭｰｻｰ</t>
  </si>
  <si>
    <t>F</t>
  </si>
  <si>
    <t>25-20</t>
  </si>
  <si>
    <t>メーター</t>
  </si>
  <si>
    <t>ｴﾙﾎﾞ・ﾁｰｽﾞ</t>
  </si>
  <si>
    <t>F</t>
  </si>
  <si>
    <t>-</t>
  </si>
  <si>
    <t>G</t>
  </si>
  <si>
    <t>VP</t>
  </si>
  <si>
    <t>ﾁｰｽﾞ</t>
  </si>
  <si>
    <t>⑥</t>
  </si>
  <si>
    <t>ﾚｼﾞｭｰｻｰ</t>
  </si>
  <si>
    <t>20-13</t>
  </si>
  <si>
    <t>≒</t>
  </si>
  <si>
    <t>=</t>
  </si>
  <si>
    <t>×</t>
  </si>
  <si>
    <t>＝</t>
  </si>
  <si>
    <t>［m3/d］</t>
  </si>
  <si>
    <t>②</t>
  </si>
  <si>
    <t>⑤</t>
  </si>
  <si>
    <t>⑥</t>
  </si>
  <si>
    <t>A-B</t>
  </si>
  <si>
    <t>=</t>
  </si>
  <si>
    <t>ℓ/s</t>
  </si>
  <si>
    <t>E-F</t>
  </si>
  <si>
    <t>F-G</t>
  </si>
  <si>
    <t>G-⑥</t>
  </si>
  <si>
    <t>L/min</t>
  </si>
  <si>
    <t>給水装置標準計画・施工方法</t>
  </si>
  <si>
    <t>残存水頭3.0ｍ～5.0ｍとする。</t>
  </si>
  <si>
    <t>サドル分水栓</t>
  </si>
  <si>
    <t>（3.0以上必要）</t>
  </si>
  <si>
    <t>(3.0以上)</t>
  </si>
  <si>
    <t>共同住宅    階建て　　戸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</si>
</sst>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#,##0.000;[Red]\-#,##0.000"/>
    <numFmt numFmtId="179" formatCode="#,##0.00_ ;[Red]\-#,##0.00\ "/>
    <numFmt numFmtId="180" formatCode="0.00&quot;m&quot;"/>
    <numFmt numFmtId="181" formatCode="0.00&quot;Mpa&quot;"/>
    <numFmt numFmtId="182" formatCode="#,##0.0000;[Red]\-#,##0.0000"/>
    <numFmt numFmtId="183" formatCode="0.000_ "/>
    <numFmt numFmtId="184" formatCode="#,##0.00000;[Red]\-#,##0.00000"/>
    <numFmt numFmtId="185" formatCode="0.0000000000_ "/>
    <numFmt numFmtId="186" formatCode="0.0000_ "/>
    <numFmt numFmtId="187" formatCode="0.0000000_ "/>
    <numFmt numFmtId="188" formatCode="0.00_);[Red]\(0.00\)"/>
    <numFmt numFmtId="189" formatCode="0.0&quot;L/min&quot;"/>
    <numFmt numFmtId="190" formatCode="0.00&quot;L&quot;"/>
    <numFmt numFmtId="191" formatCode="0.0_ "/>
    <numFmt numFmtId="192" formatCode="0.0&quot;人&quot;"/>
    <numFmt numFmtId="193" formatCode="0.0"/>
    <numFmt numFmtId="194" formatCode="0&quot;戸&quot;"/>
    <numFmt numFmtId="195" formatCode="0.00&quot;m3&quot;"/>
    <numFmt numFmtId="196" formatCode="0.000"/>
    <numFmt numFmtId="197" formatCode="0.000&quot;Mpa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48"/>
      <name val="ＭＳ Ｐゴシック"/>
      <family val="3"/>
    </font>
    <font>
      <sz val="8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8"/>
      <color indexed="9"/>
      <name val="ＭＳ Ｐ明朝"/>
      <family val="1"/>
    </font>
    <font>
      <b/>
      <sz val="11"/>
      <name val="ＭＳ Ｐ明朝"/>
      <family val="1"/>
    </font>
    <font>
      <sz val="11"/>
      <color indexed="8"/>
      <name val="HGｺﾞｼｯｸM"/>
      <family val="3"/>
    </font>
    <font>
      <sz val="11"/>
      <color indexed="9"/>
      <name val="HG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ｺﾞｼｯｸM"/>
      <family val="3"/>
    </font>
    <font>
      <sz val="11"/>
      <color indexed="60"/>
      <name val="HGｺﾞｼｯｸM"/>
      <family val="3"/>
    </font>
    <font>
      <sz val="11"/>
      <color indexed="52"/>
      <name val="HGｺﾞｼｯｸM"/>
      <family val="3"/>
    </font>
    <font>
      <sz val="11"/>
      <color indexed="20"/>
      <name val="HGｺﾞｼｯｸM"/>
      <family val="3"/>
    </font>
    <font>
      <b/>
      <sz val="11"/>
      <color indexed="52"/>
      <name val="HGｺﾞｼｯｸM"/>
      <family val="3"/>
    </font>
    <font>
      <sz val="11"/>
      <color indexed="10"/>
      <name val="HGｺﾞｼｯｸM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b/>
      <sz val="11"/>
      <color indexed="8"/>
      <name val="HGｺﾞｼｯｸM"/>
      <family val="3"/>
    </font>
    <font>
      <b/>
      <sz val="11"/>
      <color indexed="63"/>
      <name val="HGｺﾞｼｯｸM"/>
      <family val="3"/>
    </font>
    <font>
      <i/>
      <sz val="11"/>
      <color indexed="23"/>
      <name val="HGｺﾞｼｯｸM"/>
      <family val="3"/>
    </font>
    <font>
      <sz val="11"/>
      <color indexed="62"/>
      <name val="HGｺﾞｼｯｸM"/>
      <family val="3"/>
    </font>
    <font>
      <sz val="11"/>
      <color indexed="17"/>
      <name val="HGｺﾞｼｯｸM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mbria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8" applyFont="1" applyAlignment="1">
      <alignment vertical="center"/>
    </xf>
    <xf numFmtId="176" fontId="0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0" fontId="0" fillId="0" borderId="0" xfId="48" applyNumberFormat="1" applyFont="1" applyAlignment="1">
      <alignment vertical="center"/>
    </xf>
    <xf numFmtId="0" fontId="4" fillId="0" borderId="0" xfId="0" applyFont="1" applyAlignment="1">
      <alignment vertical="center"/>
    </xf>
    <xf numFmtId="4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0" fontId="0" fillId="0" borderId="19" xfId="48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0" fontId="0" fillId="0" borderId="19" xfId="48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8" fontId="0" fillId="0" borderId="23" xfId="48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38" fontId="0" fillId="0" borderId="25" xfId="48" applyFont="1" applyBorder="1" applyAlignment="1">
      <alignment horizontal="center" vertical="center" shrinkToFit="1"/>
    </xf>
    <xf numFmtId="178" fontId="0" fillId="0" borderId="25" xfId="48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40" fontId="7" fillId="0" borderId="21" xfId="48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178" fontId="0" fillId="0" borderId="16" xfId="48" applyNumberFormat="1" applyFont="1" applyBorder="1" applyAlignment="1">
      <alignment vertical="center"/>
    </xf>
    <xf numFmtId="40" fontId="0" fillId="0" borderId="19" xfId="48" applyNumberFormat="1" applyFont="1" applyBorder="1" applyAlignment="1">
      <alignment vertical="center"/>
    </xf>
    <xf numFmtId="40" fontId="0" fillId="0" borderId="19" xfId="48" applyNumberFormat="1" applyFont="1" applyBorder="1" applyAlignment="1">
      <alignment vertical="center"/>
    </xf>
    <xf numFmtId="40" fontId="0" fillId="0" borderId="21" xfId="48" applyNumberFormat="1" applyFont="1" applyBorder="1" applyAlignment="1">
      <alignment vertical="center"/>
    </xf>
    <xf numFmtId="40" fontId="0" fillId="0" borderId="19" xfId="48" applyNumberFormat="1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9" xfId="48" applyNumberFormat="1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40" fontId="0" fillId="0" borderId="29" xfId="48" applyNumberFormat="1" applyFon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0" fontId="0" fillId="0" borderId="29" xfId="48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0" fontId="0" fillId="0" borderId="32" xfId="48" applyNumberFormat="1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40" fontId="7" fillId="0" borderId="32" xfId="48" applyNumberFormat="1" applyFont="1" applyBorder="1" applyAlignment="1">
      <alignment vertical="center"/>
    </xf>
    <xf numFmtId="40" fontId="0" fillId="0" borderId="32" xfId="48" applyNumberFormat="1" applyFont="1" applyBorder="1" applyAlignment="1">
      <alignment horizontal="center" vertical="center"/>
    </xf>
    <xf numFmtId="179" fontId="7" fillId="0" borderId="32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40" fontId="0" fillId="0" borderId="29" xfId="48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40" fontId="0" fillId="0" borderId="16" xfId="48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vertical="center"/>
    </xf>
    <xf numFmtId="40" fontId="0" fillId="0" borderId="32" xfId="48" applyNumberFormat="1" applyFont="1" applyBorder="1" applyAlignment="1">
      <alignment vertical="center"/>
    </xf>
    <xf numFmtId="179" fontId="0" fillId="0" borderId="32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7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horizontal="left" vertical="center"/>
    </xf>
    <xf numFmtId="38" fontId="0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0" fontId="0" fillId="0" borderId="13" xfId="0" applyNumberFormat="1" applyBorder="1" applyAlignment="1">
      <alignment horizontal="center" vertical="center" shrinkToFit="1"/>
    </xf>
    <xf numFmtId="181" fontId="0" fillId="0" borderId="13" xfId="0" applyNumberFormat="1" applyBorder="1" applyAlignment="1">
      <alignment vertical="center" shrinkToFit="1"/>
    </xf>
    <xf numFmtId="181" fontId="0" fillId="0" borderId="13" xfId="48" applyNumberFormat="1" applyFont="1" applyBorder="1" applyAlignment="1">
      <alignment horizontal="right" vertical="center" shrinkToFit="1"/>
    </xf>
    <xf numFmtId="40" fontId="0" fillId="0" borderId="13" xfId="48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horizontal="center" vertical="center" shrinkToFit="1"/>
    </xf>
    <xf numFmtId="38" fontId="0" fillId="0" borderId="25" xfId="48" applyFont="1" applyBorder="1" applyAlignment="1">
      <alignment horizontal="center" vertical="center" shrinkToFit="1"/>
    </xf>
    <xf numFmtId="178" fontId="0" fillId="0" borderId="25" xfId="48" applyNumberFormat="1" applyFont="1" applyBorder="1" applyAlignment="1">
      <alignment horizontal="center" vertical="center" shrinkToFit="1"/>
    </xf>
    <xf numFmtId="40" fontId="0" fillId="0" borderId="19" xfId="48" applyNumberFormat="1" applyFont="1" applyBorder="1" applyAlignment="1">
      <alignment vertical="center"/>
    </xf>
    <xf numFmtId="40" fontId="0" fillId="0" borderId="29" xfId="48" applyNumberFormat="1" applyFont="1" applyBorder="1" applyAlignment="1">
      <alignment vertical="center"/>
    </xf>
    <xf numFmtId="40" fontId="0" fillId="0" borderId="32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horizontal="right" vertical="center" shrinkToFit="1"/>
    </xf>
    <xf numFmtId="38" fontId="0" fillId="0" borderId="10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40" fontId="0" fillId="0" borderId="0" xfId="48" applyNumberFormat="1" applyFont="1" applyAlignment="1">
      <alignment vertical="center"/>
    </xf>
    <xf numFmtId="179" fontId="0" fillId="0" borderId="20" xfId="0" applyNumberFormat="1" applyBorder="1" applyAlignment="1">
      <alignment vertical="center"/>
    </xf>
    <xf numFmtId="40" fontId="0" fillId="0" borderId="0" xfId="48" applyNumberFormat="1" applyFont="1" applyBorder="1" applyAlignment="1">
      <alignment horizontal="center" vertical="center"/>
    </xf>
    <xf numFmtId="40" fontId="0" fillId="0" borderId="13" xfId="48" applyNumberFormat="1" applyFont="1" applyBorder="1" applyAlignment="1">
      <alignment vertical="center" shrinkToFit="1"/>
    </xf>
    <xf numFmtId="40" fontId="0" fillId="0" borderId="38" xfId="48" applyNumberFormat="1" applyFon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 shrinkToFit="1"/>
    </xf>
    <xf numFmtId="180" fontId="0" fillId="0" borderId="39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9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48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right" vertical="center"/>
    </xf>
    <xf numFmtId="177" fontId="0" fillId="0" borderId="43" xfId="0" applyNumberFormat="1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40" fontId="0" fillId="0" borderId="16" xfId="48" applyNumberFormat="1" applyFont="1" applyBorder="1" applyAlignment="1">
      <alignment horizontal="right" vertical="center"/>
    </xf>
    <xf numFmtId="178" fontId="0" fillId="0" borderId="16" xfId="48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40" fontId="0" fillId="0" borderId="19" xfId="48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40" fontId="0" fillId="0" borderId="29" xfId="48" applyNumberFormat="1" applyFont="1" applyBorder="1" applyAlignment="1">
      <alignment horizontal="right" vertical="center"/>
    </xf>
    <xf numFmtId="178" fontId="0" fillId="0" borderId="29" xfId="48" applyNumberFormat="1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40" fontId="0" fillId="0" borderId="32" xfId="48" applyNumberFormat="1" applyFont="1" applyBorder="1" applyAlignment="1">
      <alignment horizontal="right" vertical="center"/>
    </xf>
    <xf numFmtId="40" fontId="7" fillId="0" borderId="32" xfId="48" applyNumberFormat="1" applyFont="1" applyBorder="1" applyAlignment="1">
      <alignment horizontal="right" vertical="center"/>
    </xf>
    <xf numFmtId="40" fontId="7" fillId="0" borderId="21" xfId="48" applyNumberFormat="1" applyFont="1" applyBorder="1" applyAlignment="1">
      <alignment horizontal="right" vertical="center"/>
    </xf>
    <xf numFmtId="194" fontId="0" fillId="0" borderId="0" xfId="0" applyNumberFormat="1" applyAlignment="1">
      <alignment vertical="center"/>
    </xf>
    <xf numFmtId="195" fontId="0" fillId="0" borderId="0" xfId="48" applyNumberFormat="1" applyFont="1" applyBorder="1" applyAlignment="1">
      <alignment horizontal="center" vertical="center"/>
    </xf>
    <xf numFmtId="193" fontId="0" fillId="0" borderId="0" xfId="0" applyNumberFormat="1" applyBorder="1" applyAlignment="1">
      <alignment vertical="center"/>
    </xf>
    <xf numFmtId="40" fontId="8" fillId="0" borderId="21" xfId="48" applyNumberFormat="1" applyFont="1" applyBorder="1" applyAlignment="1">
      <alignment horizontal="right" vertical="center"/>
    </xf>
    <xf numFmtId="178" fontId="0" fillId="0" borderId="46" xfId="0" applyNumberFormat="1" applyFont="1" applyBorder="1" applyAlignment="1">
      <alignment vertical="center"/>
    </xf>
    <xf numFmtId="179" fontId="0" fillId="0" borderId="47" xfId="0" applyNumberFormat="1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79" fontId="0" fillId="0" borderId="42" xfId="0" applyNumberFormat="1" applyFont="1" applyBorder="1" applyAlignment="1">
      <alignment horizontal="center" vertical="center"/>
    </xf>
    <xf numFmtId="179" fontId="0" fillId="0" borderId="49" xfId="0" applyNumberFormat="1" applyFont="1" applyBorder="1" applyAlignment="1">
      <alignment horizontal="right" vertical="center"/>
    </xf>
    <xf numFmtId="179" fontId="7" fillId="0" borderId="49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40" fontId="0" fillId="0" borderId="19" xfId="48" applyNumberFormat="1" applyFont="1" applyBorder="1" applyAlignment="1">
      <alignment vertical="center"/>
    </xf>
    <xf numFmtId="40" fontId="0" fillId="0" borderId="47" xfId="48" applyNumberFormat="1" applyFont="1" applyBorder="1" applyAlignment="1">
      <alignment vertical="center"/>
    </xf>
    <xf numFmtId="9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0" fontId="0" fillId="0" borderId="21" xfId="48" applyNumberFormat="1" applyFont="1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40" fontId="0" fillId="0" borderId="53" xfId="48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38" fontId="0" fillId="0" borderId="0" xfId="48" applyBorder="1" applyAlignment="1">
      <alignment vertical="center"/>
    </xf>
    <xf numFmtId="176" fontId="0" fillId="0" borderId="0" xfId="48" applyNumberFormat="1" applyAlignment="1">
      <alignment vertical="center"/>
    </xf>
    <xf numFmtId="38" fontId="0" fillId="0" borderId="0" xfId="48" applyFont="1" applyBorder="1" applyAlignment="1">
      <alignment horizontal="center" vertical="center"/>
    </xf>
    <xf numFmtId="176" fontId="0" fillId="0" borderId="0" xfId="48" applyNumberForma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3" xfId="48" applyBorder="1" applyAlignment="1">
      <alignment vertical="center"/>
    </xf>
    <xf numFmtId="38" fontId="0" fillId="0" borderId="23" xfId="48" applyFont="1" applyBorder="1" applyAlignment="1">
      <alignment horizontal="center" vertical="center" shrinkToFit="1"/>
    </xf>
    <xf numFmtId="38" fontId="0" fillId="0" borderId="25" xfId="48" applyFont="1" applyBorder="1" applyAlignment="1">
      <alignment horizontal="center" vertical="center" shrinkToFit="1"/>
    </xf>
    <xf numFmtId="178" fontId="0" fillId="0" borderId="25" xfId="48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48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40" fontId="0" fillId="0" borderId="16" xfId="48" applyNumberFormat="1" applyFont="1" applyBorder="1" applyAlignment="1">
      <alignment horizontal="right" vertical="center"/>
    </xf>
    <xf numFmtId="178" fontId="0" fillId="0" borderId="16" xfId="48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46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9" xfId="48" applyFont="1" applyBorder="1" applyAlignment="1">
      <alignment horizontal="right" vertical="center"/>
    </xf>
    <xf numFmtId="40" fontId="0" fillId="0" borderId="19" xfId="48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9" fontId="0" fillId="0" borderId="47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0" fontId="0" fillId="0" borderId="29" xfId="48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178" fontId="0" fillId="0" borderId="29" xfId="48" applyNumberFormat="1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38" fontId="0" fillId="0" borderId="29" xfId="48" applyFont="1" applyBorder="1" applyAlignment="1">
      <alignment horizontal="right" vertical="center"/>
    </xf>
    <xf numFmtId="179" fontId="0" fillId="0" borderId="48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0" fillId="0" borderId="32" xfId="48" applyFont="1" applyBorder="1" applyAlignment="1">
      <alignment horizontal="right" vertical="center"/>
    </xf>
    <xf numFmtId="40" fontId="0" fillId="0" borderId="32" xfId="48" applyNumberFormat="1" applyFont="1" applyBorder="1" applyAlignment="1">
      <alignment horizontal="right" vertical="center"/>
    </xf>
    <xf numFmtId="179" fontId="0" fillId="0" borderId="49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177" fontId="0" fillId="0" borderId="43" xfId="0" applyNumberFormat="1" applyFont="1" applyBorder="1" applyAlignment="1">
      <alignment vertical="center"/>
    </xf>
    <xf numFmtId="40" fontId="0" fillId="0" borderId="47" xfId="48" applyNumberFormat="1" applyFont="1" applyBorder="1" applyAlignment="1">
      <alignment vertical="center"/>
    </xf>
    <xf numFmtId="9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8" fontId="0" fillId="0" borderId="21" xfId="48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40" fontId="0" fillId="0" borderId="53" xfId="48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81" fontId="0" fillId="0" borderId="13" xfId="48" applyNumberFormat="1" applyFont="1" applyBorder="1" applyAlignment="1">
      <alignment horizontal="right" vertical="center" shrinkToFit="1"/>
    </xf>
    <xf numFmtId="40" fontId="0" fillId="0" borderId="13" xfId="48" applyNumberFormat="1" applyFont="1" applyBorder="1" applyAlignment="1">
      <alignment vertical="center" shrinkToFit="1"/>
    </xf>
    <xf numFmtId="40" fontId="0" fillId="0" borderId="38" xfId="48" applyNumberFormat="1" applyFont="1" applyBorder="1" applyAlignment="1">
      <alignment horizontal="center" vertical="center"/>
    </xf>
    <xf numFmtId="195" fontId="0" fillId="0" borderId="0" xfId="48" applyNumberFormat="1" applyFont="1" applyBorder="1" applyAlignment="1">
      <alignment horizontal="center" vertical="center"/>
    </xf>
    <xf numFmtId="38" fontId="0" fillId="0" borderId="10" xfId="48" applyBorder="1" applyAlignment="1">
      <alignment horizontal="center" vertical="center"/>
    </xf>
    <xf numFmtId="38" fontId="0" fillId="0" borderId="0" xfId="48" applyBorder="1" applyAlignment="1">
      <alignment horizontal="center" vertical="center"/>
    </xf>
    <xf numFmtId="38" fontId="0" fillId="0" borderId="13" xfId="48" applyBorder="1" applyAlignment="1">
      <alignment horizontal="center" vertical="center"/>
    </xf>
    <xf numFmtId="38" fontId="0" fillId="0" borderId="14" xfId="48" applyBorder="1" applyAlignment="1">
      <alignment horizontal="center" vertical="center"/>
    </xf>
    <xf numFmtId="38" fontId="0" fillId="0" borderId="0" xfId="48" applyAlignment="1">
      <alignment vertical="center"/>
    </xf>
    <xf numFmtId="40" fontId="0" fillId="0" borderId="0" xfId="48" applyNumberForma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95" fontId="0" fillId="0" borderId="13" xfId="48" applyNumberFormat="1" applyFont="1" applyBorder="1" applyAlignment="1">
      <alignment horizontal="center" vertical="center"/>
    </xf>
    <xf numFmtId="192" fontId="0" fillId="0" borderId="13" xfId="0" applyNumberFormat="1" applyBorder="1" applyAlignment="1">
      <alignment vertical="center"/>
    </xf>
    <xf numFmtId="194" fontId="0" fillId="0" borderId="13" xfId="0" applyNumberFormat="1" applyBorder="1" applyAlignment="1">
      <alignment vertical="center"/>
    </xf>
    <xf numFmtId="193" fontId="0" fillId="0" borderId="13" xfId="0" applyNumberForma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38" fontId="16" fillId="0" borderId="0" xfId="48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6" fontId="16" fillId="0" borderId="0" xfId="48" applyNumberFormat="1" applyFont="1" applyAlignment="1">
      <alignment vertical="center"/>
    </xf>
    <xf numFmtId="38" fontId="16" fillId="0" borderId="0" xfId="48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6" fillId="0" borderId="0" xfId="48" applyNumberFormat="1" applyFont="1" applyBorder="1" applyAlignment="1">
      <alignment vertical="center"/>
    </xf>
    <xf numFmtId="40" fontId="16" fillId="0" borderId="0" xfId="48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38" fontId="16" fillId="0" borderId="13" xfId="48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16" fillId="0" borderId="16" xfId="48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8" fontId="16" fillId="0" borderId="16" xfId="48" applyFont="1" applyBorder="1" applyAlignment="1">
      <alignment horizontal="right" vertical="center"/>
    </xf>
    <xf numFmtId="40" fontId="16" fillId="0" borderId="16" xfId="48" applyNumberFormat="1" applyFont="1" applyBorder="1" applyAlignment="1">
      <alignment horizontal="right" vertical="center"/>
    </xf>
    <xf numFmtId="178" fontId="16" fillId="0" borderId="16" xfId="48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6" fillId="0" borderId="46" xfId="0" applyNumberFormat="1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0" fontId="16" fillId="0" borderId="19" xfId="48" applyNumberFormat="1" applyFont="1" applyBorder="1" applyAlignment="1">
      <alignment vertical="center"/>
    </xf>
    <xf numFmtId="38" fontId="16" fillId="0" borderId="19" xfId="48" applyFont="1" applyBorder="1" applyAlignment="1">
      <alignment horizontal="right" vertical="center"/>
    </xf>
    <xf numFmtId="40" fontId="16" fillId="0" borderId="19" xfId="48" applyNumberFormat="1" applyFont="1" applyBorder="1" applyAlignment="1">
      <alignment horizontal="right" vertical="center"/>
    </xf>
    <xf numFmtId="179" fontId="16" fillId="0" borderId="19" xfId="0" applyNumberFormat="1" applyFont="1" applyBorder="1" applyAlignment="1">
      <alignment horizontal="right" vertical="center"/>
    </xf>
    <xf numFmtId="179" fontId="16" fillId="0" borderId="47" xfId="0" applyNumberFormat="1" applyFont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0" fontId="16" fillId="0" borderId="29" xfId="48" applyNumberFormat="1" applyFont="1" applyBorder="1" applyAlignment="1">
      <alignment vertical="center"/>
    </xf>
    <xf numFmtId="40" fontId="16" fillId="0" borderId="29" xfId="48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178" fontId="16" fillId="0" borderId="29" xfId="48" applyNumberFormat="1" applyFont="1" applyBorder="1" applyAlignment="1">
      <alignment horizontal="right" vertical="center"/>
    </xf>
    <xf numFmtId="0" fontId="16" fillId="0" borderId="43" xfId="0" applyFont="1" applyBorder="1" applyAlignment="1">
      <alignment vertical="center"/>
    </xf>
    <xf numFmtId="38" fontId="16" fillId="0" borderId="29" xfId="48" applyFont="1" applyBorder="1" applyAlignment="1">
      <alignment horizontal="right" vertical="center"/>
    </xf>
    <xf numFmtId="179" fontId="16" fillId="0" borderId="48" xfId="0" applyNumberFormat="1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178" fontId="16" fillId="0" borderId="45" xfId="0" applyNumberFormat="1" applyFont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179" fontId="16" fillId="0" borderId="42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0" fontId="16" fillId="0" borderId="32" xfId="48" applyNumberFormat="1" applyFont="1" applyBorder="1" applyAlignment="1">
      <alignment vertical="center"/>
    </xf>
    <xf numFmtId="38" fontId="16" fillId="0" borderId="32" xfId="48" applyFont="1" applyBorder="1" applyAlignment="1">
      <alignment horizontal="right" vertical="center"/>
    </xf>
    <xf numFmtId="40" fontId="16" fillId="0" borderId="32" xfId="48" applyNumberFormat="1" applyFont="1" applyBorder="1" applyAlignment="1">
      <alignment horizontal="right" vertical="center"/>
    </xf>
    <xf numFmtId="179" fontId="16" fillId="0" borderId="49" xfId="0" applyNumberFormat="1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177" fontId="16" fillId="0" borderId="43" xfId="0" applyNumberFormat="1" applyFont="1" applyBorder="1" applyAlignment="1">
      <alignment vertical="center"/>
    </xf>
    <xf numFmtId="40" fontId="19" fillId="0" borderId="32" xfId="48" applyNumberFormat="1" applyFont="1" applyBorder="1" applyAlignment="1">
      <alignment horizontal="right" vertical="center"/>
    </xf>
    <xf numFmtId="179" fontId="19" fillId="0" borderId="32" xfId="0" applyNumberFormat="1" applyFont="1" applyBorder="1" applyAlignment="1">
      <alignment horizontal="right" vertical="center"/>
    </xf>
    <xf numFmtId="179" fontId="19" fillId="0" borderId="49" xfId="0" applyNumberFormat="1" applyFont="1" applyBorder="1" applyAlignment="1">
      <alignment horizontal="right" vertical="center"/>
    </xf>
    <xf numFmtId="40" fontId="16" fillId="0" borderId="19" xfId="48" applyNumberFormat="1" applyFont="1" applyBorder="1" applyAlignment="1">
      <alignment vertical="center"/>
    </xf>
    <xf numFmtId="40" fontId="16" fillId="0" borderId="47" xfId="48" applyNumberFormat="1" applyFont="1" applyBorder="1" applyAlignment="1">
      <alignment vertical="center"/>
    </xf>
    <xf numFmtId="9" fontId="16" fillId="0" borderId="18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40" fontId="16" fillId="0" borderId="21" xfId="48" applyNumberFormat="1" applyFont="1" applyBorder="1" applyAlignment="1">
      <alignment vertical="center"/>
    </xf>
    <xf numFmtId="38" fontId="16" fillId="0" borderId="21" xfId="48" applyFont="1" applyBorder="1" applyAlignment="1">
      <alignment horizontal="right" vertical="center"/>
    </xf>
    <xf numFmtId="40" fontId="19" fillId="0" borderId="21" xfId="48" applyNumberFormat="1" applyFont="1" applyBorder="1" applyAlignment="1">
      <alignment horizontal="right" vertical="center"/>
    </xf>
    <xf numFmtId="40" fontId="16" fillId="0" borderId="21" xfId="48" applyNumberFormat="1" applyFont="1" applyBorder="1" applyAlignment="1">
      <alignment horizontal="right" vertical="center"/>
    </xf>
    <xf numFmtId="40" fontId="23" fillId="0" borderId="21" xfId="48" applyNumberFormat="1" applyFont="1" applyBorder="1" applyAlignment="1">
      <alignment horizontal="right" vertical="center"/>
    </xf>
    <xf numFmtId="40" fontId="16" fillId="0" borderId="53" xfId="48" applyNumberFormat="1" applyFont="1" applyBorder="1" applyAlignment="1">
      <alignment vertical="center"/>
    </xf>
    <xf numFmtId="0" fontId="16" fillId="0" borderId="54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181" fontId="16" fillId="0" borderId="13" xfId="0" applyNumberFormat="1" applyFont="1" applyBorder="1" applyAlignment="1">
      <alignment vertical="center" shrinkToFit="1"/>
    </xf>
    <xf numFmtId="40" fontId="16" fillId="0" borderId="13" xfId="48" applyNumberFormat="1" applyFont="1" applyBorder="1" applyAlignment="1">
      <alignment vertical="center" shrinkToFit="1"/>
    </xf>
    <xf numFmtId="40" fontId="16" fillId="0" borderId="38" xfId="48" applyNumberFormat="1" applyFont="1" applyBorder="1" applyAlignment="1">
      <alignment horizontal="center" vertical="center"/>
    </xf>
    <xf numFmtId="180" fontId="16" fillId="0" borderId="38" xfId="0" applyNumberFormat="1" applyFont="1" applyBorder="1" applyAlignment="1">
      <alignment horizontal="center" vertical="center" shrinkToFit="1"/>
    </xf>
    <xf numFmtId="0" fontId="16" fillId="0" borderId="35" xfId="0" applyFont="1" applyBorder="1" applyAlignment="1">
      <alignment vertical="center"/>
    </xf>
    <xf numFmtId="38" fontId="16" fillId="0" borderId="13" xfId="48" applyFont="1" applyBorder="1" applyAlignment="1">
      <alignment horizontal="center" vertical="center"/>
    </xf>
    <xf numFmtId="38" fontId="16" fillId="0" borderId="14" xfId="48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8" fontId="16" fillId="0" borderId="0" xfId="48" applyFont="1" applyAlignment="1">
      <alignment vertical="center"/>
    </xf>
    <xf numFmtId="40" fontId="16" fillId="0" borderId="0" xfId="48" applyNumberFormat="1" applyFont="1" applyAlignment="1">
      <alignment vertical="center"/>
    </xf>
    <xf numFmtId="40" fontId="16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38" fontId="0" fillId="0" borderId="23" xfId="48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38" fontId="0" fillId="0" borderId="25" xfId="48" applyFont="1" applyBorder="1" applyAlignment="1">
      <alignment horizontal="center" vertical="center" shrinkToFit="1"/>
    </xf>
    <xf numFmtId="178" fontId="0" fillId="0" borderId="25" xfId="48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2" fontId="0" fillId="0" borderId="0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6" fontId="16" fillId="0" borderId="0" xfId="48" applyNumberFormat="1" applyFont="1" applyBorder="1" applyAlignment="1">
      <alignment horizontal="center" vertical="center"/>
    </xf>
    <xf numFmtId="40" fontId="16" fillId="0" borderId="0" xfId="48" applyNumberFormat="1" applyFont="1" applyBorder="1" applyAlignment="1">
      <alignment horizontal="center" vertical="center"/>
    </xf>
    <xf numFmtId="197" fontId="16" fillId="0" borderId="13" xfId="48" applyNumberFormat="1" applyFont="1" applyBorder="1" applyAlignment="1">
      <alignment horizontal="right" vertical="center" shrinkToFit="1"/>
    </xf>
    <xf numFmtId="0" fontId="16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180" fontId="16" fillId="0" borderId="38" xfId="0" applyNumberFormat="1" applyFont="1" applyBorder="1" applyAlignment="1">
      <alignment horizontal="center" vertical="center" shrinkToFit="1"/>
    </xf>
    <xf numFmtId="180" fontId="16" fillId="0" borderId="39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40" fontId="23" fillId="0" borderId="55" xfId="0" applyNumberFormat="1" applyFont="1" applyBorder="1" applyAlignment="1">
      <alignment horizontal="center" vertical="center"/>
    </xf>
    <xf numFmtId="40" fontId="23" fillId="0" borderId="5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0" fontId="16" fillId="0" borderId="38" xfId="48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80" fontId="18" fillId="0" borderId="38" xfId="0" applyNumberFormat="1" applyFont="1" applyBorder="1" applyAlignment="1">
      <alignment horizontal="center" vertical="center" shrinkToFit="1"/>
    </xf>
    <xf numFmtId="180" fontId="18" fillId="0" borderId="39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16" fillId="0" borderId="38" xfId="48" applyNumberFormat="1" applyFont="1" applyBorder="1" applyAlignment="1">
      <alignment horizontal="center" vertical="center"/>
    </xf>
    <xf numFmtId="40" fontId="8" fillId="0" borderId="55" xfId="0" applyNumberFormat="1" applyFont="1" applyBorder="1" applyAlignment="1">
      <alignment horizontal="center" vertical="center"/>
    </xf>
    <xf numFmtId="40" fontId="8" fillId="0" borderId="5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0" fontId="0" fillId="0" borderId="38" xfId="48" applyNumberFormat="1" applyFont="1" applyBorder="1" applyAlignment="1">
      <alignment horizontal="center" vertical="center"/>
    </xf>
    <xf numFmtId="40" fontId="0" fillId="0" borderId="38" xfId="48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 shrinkToFit="1"/>
    </xf>
    <xf numFmtId="186" fontId="0" fillId="0" borderId="0" xfId="0" applyNumberFormat="1" applyAlignment="1">
      <alignment horizontal="left" vertical="center"/>
    </xf>
    <xf numFmtId="176" fontId="0" fillId="0" borderId="0" xfId="48" applyNumberFormat="1" applyFont="1" applyBorder="1" applyAlignment="1">
      <alignment vertical="center"/>
    </xf>
    <xf numFmtId="178" fontId="0" fillId="0" borderId="0" xfId="48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4" fontId="3" fillId="0" borderId="0" xfId="48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182" fontId="0" fillId="0" borderId="64" xfId="48" applyNumberFormat="1" applyFont="1" applyBorder="1" applyAlignment="1">
      <alignment vertical="center" shrinkToFit="1"/>
    </xf>
    <xf numFmtId="176" fontId="9" fillId="0" borderId="61" xfId="48" applyNumberFormat="1" applyFont="1" applyBorder="1" applyAlignment="1">
      <alignment vertical="center" shrinkToFit="1"/>
    </xf>
    <xf numFmtId="176" fontId="9" fillId="0" borderId="63" xfId="48" applyNumberFormat="1" applyFont="1" applyBorder="1" applyAlignment="1">
      <alignment vertical="center" shrinkToFit="1"/>
    </xf>
    <xf numFmtId="178" fontId="9" fillId="0" borderId="61" xfId="48" applyNumberFormat="1" applyFont="1" applyBorder="1" applyAlignment="1">
      <alignment vertical="center"/>
    </xf>
    <xf numFmtId="178" fontId="9" fillId="0" borderId="63" xfId="48" applyNumberFormat="1" applyFont="1" applyBorder="1" applyAlignment="1">
      <alignment vertical="center"/>
    </xf>
    <xf numFmtId="183" fontId="10" fillId="0" borderId="0" xfId="0" applyNumberFormat="1" applyFont="1" applyAlignment="1">
      <alignment vertical="center"/>
    </xf>
    <xf numFmtId="0" fontId="11" fillId="33" borderId="61" xfId="0" applyFont="1" applyFill="1" applyBorder="1" applyAlignment="1" applyProtection="1">
      <alignment vertical="center"/>
      <protection locked="0"/>
    </xf>
    <xf numFmtId="0" fontId="11" fillId="33" borderId="63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40" fontId="0" fillId="0" borderId="38" xfId="48" applyNumberFormat="1" applyFont="1" applyBorder="1" applyAlignment="1">
      <alignment horizontal="center" vertical="center" shrinkToFit="1"/>
    </xf>
    <xf numFmtId="38" fontId="0" fillId="0" borderId="0" xfId="48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19978;&#19979;&#27700;&#36947;&#35506;\Documents%20and%20Settings\tsurugi\My%20Documents\tcalc131\TEXTCALC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textcal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80"/>
  <sheetViews>
    <sheetView showZeros="0" tabSelected="1" zoomScale="70" zoomScaleNormal="70" zoomScaleSheetLayoutView="100" zoomScalePageLayoutView="0" workbookViewId="0" topLeftCell="A1">
      <selection activeCell="W18" sqref="W18"/>
    </sheetView>
  </sheetViews>
  <sheetFormatPr defaultColWidth="3.25390625" defaultRowHeight="13.5"/>
  <cols>
    <col min="1" max="1" width="4.25390625" style="419" customWidth="1"/>
    <col min="2" max="2" width="2.00390625" style="419" customWidth="1"/>
    <col min="3" max="3" width="6.125" style="419" customWidth="1"/>
    <col min="4" max="4" width="1.37890625" style="419" customWidth="1"/>
    <col min="5" max="5" width="6.125" style="419" customWidth="1"/>
    <col min="6" max="6" width="6.75390625" style="325" customWidth="1"/>
    <col min="7" max="7" width="6.625" style="325" customWidth="1"/>
    <col min="8" max="8" width="7.125" style="317" customWidth="1"/>
    <col min="9" max="9" width="8.375" style="317" customWidth="1"/>
    <col min="10" max="10" width="9.875" style="420" customWidth="1"/>
    <col min="11" max="11" width="8.00390625" style="317" customWidth="1"/>
    <col min="12" max="12" width="6.125" style="317" customWidth="1"/>
    <col min="13" max="13" width="12.25390625" style="317" customWidth="1"/>
    <col min="14" max="14" width="2.625" style="317" bestFit="1" customWidth="1"/>
    <col min="15" max="15" width="5.875" style="317" customWidth="1"/>
    <col min="16" max="16" width="5.375" style="317" customWidth="1"/>
    <col min="17" max="17" width="4.25390625" style="317" customWidth="1"/>
    <col min="18" max="18" width="3.375" style="317" customWidth="1"/>
    <col min="19" max="19" width="3.25390625" style="317" customWidth="1"/>
    <col min="20" max="20" width="5.50390625" style="317" customWidth="1"/>
    <col min="21" max="16384" width="3.25390625" style="317" customWidth="1"/>
  </cols>
  <sheetData>
    <row r="1" spans="1:18" s="442" customFormat="1" ht="17.25">
      <c r="A1" s="456" t="s">
        <v>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</row>
    <row r="2" spans="1:22" s="325" customFormat="1" ht="13.5">
      <c r="A2" s="318" t="s">
        <v>318</v>
      </c>
      <c r="B2" s="319"/>
      <c r="C2" s="315"/>
      <c r="D2" s="315"/>
      <c r="E2" s="315"/>
      <c r="F2" s="315"/>
      <c r="G2" s="315"/>
      <c r="H2" s="315"/>
      <c r="I2" s="315"/>
      <c r="J2" s="315"/>
      <c r="K2" s="427" t="s">
        <v>113</v>
      </c>
      <c r="L2" s="320"/>
      <c r="M2" s="321"/>
      <c r="N2" s="321"/>
      <c r="O2" s="321"/>
      <c r="P2" s="321"/>
      <c r="Q2" s="321"/>
      <c r="R2" s="322"/>
      <c r="S2" s="323"/>
      <c r="T2" s="324"/>
      <c r="V2" s="324"/>
    </row>
    <row r="3" spans="1:22" ht="13.5">
      <c r="A3" s="318"/>
      <c r="B3" s="319"/>
      <c r="C3" s="319"/>
      <c r="D3" s="319"/>
      <c r="E3" s="319"/>
      <c r="F3" s="315"/>
      <c r="G3" s="315"/>
      <c r="H3" s="326"/>
      <c r="I3" s="326"/>
      <c r="J3" s="327"/>
      <c r="K3" s="318" t="s">
        <v>114</v>
      </c>
      <c r="L3" s="315"/>
      <c r="M3" s="319"/>
      <c r="N3" s="319"/>
      <c r="O3" s="326"/>
      <c r="P3" s="326"/>
      <c r="Q3" s="326"/>
      <c r="R3" s="328"/>
      <c r="S3" s="325"/>
      <c r="V3" s="329"/>
    </row>
    <row r="4" spans="1:22" ht="13.5">
      <c r="A4" s="423" t="s">
        <v>10</v>
      </c>
      <c r="B4" s="424"/>
      <c r="C4" s="424" t="s">
        <v>17</v>
      </c>
      <c r="D4" s="424"/>
      <c r="E4" s="425" t="s">
        <v>18</v>
      </c>
      <c r="F4" s="425"/>
      <c r="G4" s="14" t="s">
        <v>22</v>
      </c>
      <c r="H4" s="29" t="s">
        <v>8</v>
      </c>
      <c r="I4" s="426" t="s">
        <v>249</v>
      </c>
      <c r="J4" s="426" t="s">
        <v>250</v>
      </c>
      <c r="K4" s="467" t="s">
        <v>185</v>
      </c>
      <c r="L4" s="468"/>
      <c r="M4" s="468"/>
      <c r="N4" s="468"/>
      <c r="O4" s="468"/>
      <c r="P4" s="468"/>
      <c r="Q4" s="468"/>
      <c r="R4" s="469"/>
      <c r="V4" s="329"/>
    </row>
    <row r="5" spans="1:22" ht="13.5">
      <c r="A5" s="314"/>
      <c r="B5" s="315"/>
      <c r="C5" s="315" t="s">
        <v>251</v>
      </c>
      <c r="D5" s="315"/>
      <c r="E5" s="319"/>
      <c r="F5" s="315"/>
      <c r="G5" s="331"/>
      <c r="H5" s="326"/>
      <c r="I5" s="332"/>
      <c r="J5" s="333">
        <f aca="true" t="shared" si="0" ref="J5:J10">+I5/60</f>
        <v>0</v>
      </c>
      <c r="K5" s="467"/>
      <c r="L5" s="468"/>
      <c r="M5" s="468"/>
      <c r="N5" s="468"/>
      <c r="O5" s="468"/>
      <c r="P5" s="468"/>
      <c r="Q5" s="468"/>
      <c r="R5" s="469"/>
      <c r="S5" s="325"/>
      <c r="V5" s="329"/>
    </row>
    <row r="6" spans="1:22" ht="13.5">
      <c r="A6" s="314"/>
      <c r="B6" s="315"/>
      <c r="C6" s="315" t="s">
        <v>303</v>
      </c>
      <c r="D6" s="315"/>
      <c r="E6" s="319"/>
      <c r="F6" s="315"/>
      <c r="G6" s="331"/>
      <c r="H6" s="326"/>
      <c r="I6" s="332"/>
      <c r="J6" s="333">
        <f t="shared" si="0"/>
        <v>0</v>
      </c>
      <c r="K6" s="318" t="s">
        <v>186</v>
      </c>
      <c r="L6" s="315"/>
      <c r="M6" s="319"/>
      <c r="N6" s="319"/>
      <c r="O6" s="326"/>
      <c r="P6" s="326"/>
      <c r="Q6" s="326"/>
      <c r="R6" s="328"/>
      <c r="V6" s="329"/>
    </row>
    <row r="7" spans="1:22" ht="13.5">
      <c r="A7" s="314"/>
      <c r="B7" s="315"/>
      <c r="C7" s="315" t="s">
        <v>253</v>
      </c>
      <c r="D7" s="315"/>
      <c r="E7" s="319"/>
      <c r="F7" s="315"/>
      <c r="G7" s="331"/>
      <c r="H7" s="326"/>
      <c r="I7" s="332"/>
      <c r="J7" s="333">
        <f t="shared" si="0"/>
        <v>0</v>
      </c>
      <c r="K7" s="467" t="s">
        <v>128</v>
      </c>
      <c r="L7" s="468"/>
      <c r="M7" s="468"/>
      <c r="N7" s="468"/>
      <c r="O7" s="468"/>
      <c r="P7" s="468"/>
      <c r="Q7" s="468"/>
      <c r="R7" s="469"/>
      <c r="S7" s="325"/>
      <c r="V7" s="329"/>
    </row>
    <row r="8" spans="1:18" ht="13.5">
      <c r="A8" s="314"/>
      <c r="B8" s="315"/>
      <c r="C8" s="315" t="s">
        <v>255</v>
      </c>
      <c r="D8" s="315"/>
      <c r="E8" s="319"/>
      <c r="F8" s="315"/>
      <c r="G8" s="315"/>
      <c r="H8" s="326"/>
      <c r="I8" s="332"/>
      <c r="J8" s="333">
        <f t="shared" si="0"/>
        <v>0</v>
      </c>
      <c r="K8" s="467"/>
      <c r="L8" s="468"/>
      <c r="M8" s="468"/>
      <c r="N8" s="468"/>
      <c r="O8" s="468"/>
      <c r="P8" s="468"/>
      <c r="Q8" s="468"/>
      <c r="R8" s="469"/>
    </row>
    <row r="9" spans="1:18" ht="13.5">
      <c r="A9" s="314"/>
      <c r="B9" s="315"/>
      <c r="C9" s="315" t="s">
        <v>304</v>
      </c>
      <c r="D9" s="315"/>
      <c r="E9" s="319"/>
      <c r="F9" s="315"/>
      <c r="G9" s="331"/>
      <c r="H9" s="326"/>
      <c r="I9" s="332"/>
      <c r="J9" s="333">
        <f t="shared" si="0"/>
        <v>0</v>
      </c>
      <c r="K9" s="314"/>
      <c r="L9" s="315"/>
      <c r="M9" s="319"/>
      <c r="N9" s="319"/>
      <c r="O9" s="326"/>
      <c r="P9" s="326"/>
      <c r="Q9" s="326"/>
      <c r="R9" s="328"/>
    </row>
    <row r="10" spans="1:18" ht="13.5">
      <c r="A10" s="314"/>
      <c r="B10" s="315"/>
      <c r="C10" s="315" t="s">
        <v>305</v>
      </c>
      <c r="D10" s="315"/>
      <c r="E10" s="319"/>
      <c r="F10" s="315"/>
      <c r="G10" s="331"/>
      <c r="H10" s="326"/>
      <c r="I10" s="332"/>
      <c r="J10" s="333">
        <f t="shared" si="0"/>
        <v>0</v>
      </c>
      <c r="K10" s="314" t="s">
        <v>306</v>
      </c>
      <c r="L10" s="334"/>
      <c r="M10" s="319"/>
      <c r="N10" s="335" t="s">
        <v>260</v>
      </c>
      <c r="O10" s="326"/>
      <c r="P10" s="336" t="s">
        <v>312</v>
      </c>
      <c r="Q10" s="337">
        <f aca="true" t="shared" si="1" ref="Q10:Q16">ROUND((O10/60),2)</f>
        <v>0</v>
      </c>
      <c r="R10" s="338" t="s">
        <v>261</v>
      </c>
    </row>
    <row r="11" spans="1:18" ht="13.5">
      <c r="A11" s="314"/>
      <c r="B11" s="315"/>
      <c r="C11" s="315"/>
      <c r="D11" s="315"/>
      <c r="E11" s="319"/>
      <c r="F11" s="315"/>
      <c r="G11" s="331"/>
      <c r="H11" s="326"/>
      <c r="I11" s="326"/>
      <c r="J11" s="327"/>
      <c r="K11" s="314" t="s">
        <v>262</v>
      </c>
      <c r="L11" s="334"/>
      <c r="M11" s="326"/>
      <c r="N11" s="335" t="s">
        <v>260</v>
      </c>
      <c r="O11" s="326"/>
      <c r="P11" s="336" t="s">
        <v>312</v>
      </c>
      <c r="Q11" s="337">
        <f t="shared" si="1"/>
        <v>0</v>
      </c>
      <c r="R11" s="338" t="s">
        <v>261</v>
      </c>
    </row>
    <row r="12" spans="1:18" ht="13.5">
      <c r="A12" s="314"/>
      <c r="B12" s="315"/>
      <c r="C12" s="315"/>
      <c r="D12" s="315"/>
      <c r="E12" s="319"/>
      <c r="F12" s="315"/>
      <c r="G12" s="331"/>
      <c r="H12" s="326"/>
      <c r="I12" s="326"/>
      <c r="J12" s="327"/>
      <c r="K12" s="314" t="s">
        <v>263</v>
      </c>
      <c r="L12" s="334"/>
      <c r="M12" s="326"/>
      <c r="N12" s="335" t="s">
        <v>260</v>
      </c>
      <c r="O12" s="326"/>
      <c r="P12" s="336" t="s">
        <v>312</v>
      </c>
      <c r="Q12" s="337">
        <f t="shared" si="1"/>
        <v>0</v>
      </c>
      <c r="R12" s="338" t="s">
        <v>261</v>
      </c>
    </row>
    <row r="13" spans="1:18" ht="13.5">
      <c r="A13" s="314"/>
      <c r="B13" s="315"/>
      <c r="C13" s="319" t="s">
        <v>38</v>
      </c>
      <c r="D13" s="315"/>
      <c r="E13" s="319"/>
      <c r="F13" s="315"/>
      <c r="G13" s="315"/>
      <c r="H13" s="326"/>
      <c r="I13" s="326"/>
      <c r="J13" s="327"/>
      <c r="K13" s="314" t="s">
        <v>264</v>
      </c>
      <c r="L13" s="334"/>
      <c r="M13" s="326"/>
      <c r="N13" s="335" t="s">
        <v>307</v>
      </c>
      <c r="O13" s="326"/>
      <c r="P13" s="336" t="s">
        <v>312</v>
      </c>
      <c r="Q13" s="337">
        <f t="shared" si="1"/>
        <v>0</v>
      </c>
      <c r="R13" s="338" t="s">
        <v>308</v>
      </c>
    </row>
    <row r="14" spans="1:18" ht="13.5">
      <c r="A14" s="318"/>
      <c r="B14" s="319"/>
      <c r="C14" s="319"/>
      <c r="D14" s="319"/>
      <c r="E14" s="319"/>
      <c r="F14" s="315"/>
      <c r="G14" s="315"/>
      <c r="H14" s="326"/>
      <c r="I14" s="326"/>
      <c r="J14" s="327"/>
      <c r="K14" s="314" t="s">
        <v>309</v>
      </c>
      <c r="L14" s="334"/>
      <c r="M14" s="326"/>
      <c r="N14" s="335" t="s">
        <v>307</v>
      </c>
      <c r="O14" s="326"/>
      <c r="P14" s="336" t="s">
        <v>312</v>
      </c>
      <c r="Q14" s="337">
        <f t="shared" si="1"/>
        <v>0</v>
      </c>
      <c r="R14" s="338" t="s">
        <v>308</v>
      </c>
    </row>
    <row r="15" spans="1:20" ht="13.5">
      <c r="A15" s="318"/>
      <c r="B15" s="319"/>
      <c r="C15" s="319"/>
      <c r="D15" s="319"/>
      <c r="E15" s="319"/>
      <c r="F15" s="315"/>
      <c r="G15" s="315"/>
      <c r="H15" s="326"/>
      <c r="I15" s="326"/>
      <c r="J15" s="327"/>
      <c r="K15" s="314" t="s">
        <v>310</v>
      </c>
      <c r="L15" s="334"/>
      <c r="M15" s="326"/>
      <c r="N15" s="335" t="s">
        <v>307</v>
      </c>
      <c r="O15" s="326"/>
      <c r="P15" s="336" t="s">
        <v>312</v>
      </c>
      <c r="Q15" s="337">
        <f t="shared" si="1"/>
        <v>0</v>
      </c>
      <c r="R15" s="338" t="s">
        <v>308</v>
      </c>
      <c r="T15" s="339"/>
    </row>
    <row r="16" spans="1:20" ht="13.5">
      <c r="A16" s="318"/>
      <c r="B16" s="319"/>
      <c r="C16" s="319"/>
      <c r="D16" s="319"/>
      <c r="E16" s="319"/>
      <c r="F16" s="315"/>
      <c r="G16" s="315"/>
      <c r="H16" s="326"/>
      <c r="I16" s="326"/>
      <c r="J16" s="327"/>
      <c r="K16" s="314" t="s">
        <v>311</v>
      </c>
      <c r="L16" s="334"/>
      <c r="M16" s="326"/>
      <c r="N16" s="335" t="s">
        <v>307</v>
      </c>
      <c r="O16" s="326"/>
      <c r="P16" s="336" t="s">
        <v>312</v>
      </c>
      <c r="Q16" s="337">
        <f t="shared" si="1"/>
        <v>0</v>
      </c>
      <c r="R16" s="338" t="s">
        <v>308</v>
      </c>
      <c r="T16" s="339"/>
    </row>
    <row r="17" spans="1:20" ht="13.5">
      <c r="A17" s="340" t="s">
        <v>34</v>
      </c>
      <c r="B17" s="341"/>
      <c r="C17" s="341"/>
      <c r="D17" s="341"/>
      <c r="E17" s="341"/>
      <c r="F17" s="316"/>
      <c r="G17" s="316"/>
      <c r="H17" s="342"/>
      <c r="I17" s="342"/>
      <c r="J17" s="343"/>
      <c r="K17" s="344"/>
      <c r="L17" s="342"/>
      <c r="M17" s="342"/>
      <c r="N17" s="342"/>
      <c r="O17" s="342"/>
      <c r="P17" s="342"/>
      <c r="Q17" s="342"/>
      <c r="R17" s="345"/>
      <c r="T17" s="339"/>
    </row>
    <row r="18" spans="1:23" s="444" customFormat="1" ht="13.5">
      <c r="A18" s="459" t="s">
        <v>5</v>
      </c>
      <c r="B18" s="460"/>
      <c r="C18" s="460"/>
      <c r="D18" s="460"/>
      <c r="E18" s="461"/>
      <c r="F18" s="428" t="s">
        <v>7</v>
      </c>
      <c r="G18" s="429" t="s">
        <v>9</v>
      </c>
      <c r="H18" s="429" t="s">
        <v>0</v>
      </c>
      <c r="I18" s="429" t="s">
        <v>25</v>
      </c>
      <c r="J18" s="430" t="s">
        <v>26</v>
      </c>
      <c r="K18" s="429" t="s">
        <v>1</v>
      </c>
      <c r="L18" s="429" t="s">
        <v>51</v>
      </c>
      <c r="M18" s="55" t="s">
        <v>2</v>
      </c>
      <c r="N18" s="476" t="s">
        <v>150</v>
      </c>
      <c r="O18" s="477"/>
      <c r="P18" s="161"/>
      <c r="Q18" s="161"/>
      <c r="R18" s="160"/>
      <c r="S18" s="443"/>
      <c r="T18" s="214"/>
      <c r="U18" s="443"/>
      <c r="V18" s="443"/>
      <c r="W18" s="443"/>
    </row>
    <row r="19" spans="1:23" s="446" customFormat="1" ht="13.5">
      <c r="A19" s="462"/>
      <c r="B19" s="463"/>
      <c r="C19" s="463"/>
      <c r="D19" s="463"/>
      <c r="E19" s="464"/>
      <c r="F19" s="431" t="s">
        <v>268</v>
      </c>
      <c r="G19" s="432"/>
      <c r="H19" s="432" t="s">
        <v>28</v>
      </c>
      <c r="I19" s="432" t="s">
        <v>269</v>
      </c>
      <c r="J19" s="433" t="s">
        <v>31</v>
      </c>
      <c r="K19" s="434" t="s">
        <v>269</v>
      </c>
      <c r="L19" s="434" t="s">
        <v>269</v>
      </c>
      <c r="M19" s="60" t="s">
        <v>269</v>
      </c>
      <c r="N19" s="478" t="s">
        <v>270</v>
      </c>
      <c r="O19" s="479"/>
      <c r="P19" s="435"/>
      <c r="Q19" s="435"/>
      <c r="R19" s="436"/>
      <c r="S19" s="443"/>
      <c r="T19" s="215"/>
      <c r="U19" s="445"/>
      <c r="V19" s="445"/>
      <c r="W19" s="445"/>
    </row>
    <row r="20" spans="1:20" ht="13.5">
      <c r="A20" s="314"/>
      <c r="B20" s="315"/>
      <c r="C20" s="315"/>
      <c r="D20" s="315"/>
      <c r="E20" s="350"/>
      <c r="F20" s="351"/>
      <c r="G20" s="352"/>
      <c r="H20" s="353"/>
      <c r="I20" s="354"/>
      <c r="J20" s="355"/>
      <c r="K20" s="356"/>
      <c r="L20" s="357"/>
      <c r="M20" s="358"/>
      <c r="N20" s="359"/>
      <c r="O20" s="360"/>
      <c r="P20" s="361"/>
      <c r="Q20" s="361"/>
      <c r="R20" s="362"/>
      <c r="T20" s="339"/>
    </row>
    <row r="21" spans="1:20" ht="13.5">
      <c r="A21" s="314"/>
      <c r="B21" s="315"/>
      <c r="C21" s="315"/>
      <c r="D21" s="315"/>
      <c r="E21" s="350"/>
      <c r="F21" s="363"/>
      <c r="G21" s="364"/>
      <c r="H21" s="365"/>
      <c r="I21" s="365"/>
      <c r="J21" s="366"/>
      <c r="K21" s="367">
        <f aca="true" t="shared" si="2" ref="K21:K35">ROUND((I21*J21)/1000,2)</f>
        <v>0</v>
      </c>
      <c r="L21" s="367"/>
      <c r="M21" s="368">
        <f aca="true" t="shared" si="3" ref="M21:M35">SUM(K21:L21)</f>
        <v>0</v>
      </c>
      <c r="N21" s="369"/>
      <c r="O21" s="370">
        <f>IF(F21="","",(4/T21)*H21/1000)</f>
      </c>
      <c r="P21" s="371"/>
      <c r="Q21" s="371"/>
      <c r="R21" s="372"/>
      <c r="T21" s="339">
        <f aca="true" t="shared" si="4" ref="T21:T62">IF(F21&lt;&gt;"",PI()*(F21/1000)^2,"")</f>
      </c>
    </row>
    <row r="22" spans="1:20" ht="13.5">
      <c r="A22" s="314"/>
      <c r="B22" s="315"/>
      <c r="C22" s="315"/>
      <c r="D22" s="315"/>
      <c r="E22" s="350"/>
      <c r="F22" s="363"/>
      <c r="G22" s="364"/>
      <c r="H22" s="365"/>
      <c r="I22" s="365"/>
      <c r="J22" s="366"/>
      <c r="K22" s="367">
        <f t="shared" si="2"/>
        <v>0</v>
      </c>
      <c r="L22" s="367"/>
      <c r="M22" s="368">
        <f t="shared" si="3"/>
        <v>0</v>
      </c>
      <c r="N22" s="369"/>
      <c r="O22" s="370"/>
      <c r="P22" s="371"/>
      <c r="Q22" s="371"/>
      <c r="R22" s="372"/>
      <c r="T22" s="339">
        <f t="shared" si="4"/>
      </c>
    </row>
    <row r="23" spans="1:20" ht="13.5">
      <c r="A23" s="314"/>
      <c r="B23" s="315"/>
      <c r="C23" s="315"/>
      <c r="D23" s="315"/>
      <c r="E23" s="350"/>
      <c r="F23" s="363"/>
      <c r="G23" s="364"/>
      <c r="H23" s="365"/>
      <c r="I23" s="365"/>
      <c r="J23" s="366"/>
      <c r="K23" s="367">
        <f t="shared" si="2"/>
        <v>0</v>
      </c>
      <c r="L23" s="367"/>
      <c r="M23" s="368">
        <f t="shared" si="3"/>
        <v>0</v>
      </c>
      <c r="N23" s="369"/>
      <c r="O23" s="370"/>
      <c r="P23" s="371"/>
      <c r="Q23" s="371"/>
      <c r="R23" s="372"/>
      <c r="T23" s="339">
        <f t="shared" si="4"/>
      </c>
    </row>
    <row r="24" spans="1:20" ht="13.5">
      <c r="A24" s="314"/>
      <c r="B24" s="315"/>
      <c r="C24" s="315"/>
      <c r="D24" s="315"/>
      <c r="E24" s="350"/>
      <c r="F24" s="363"/>
      <c r="G24" s="364"/>
      <c r="H24" s="365"/>
      <c r="I24" s="365"/>
      <c r="J24" s="366"/>
      <c r="K24" s="367">
        <f t="shared" si="2"/>
        <v>0</v>
      </c>
      <c r="L24" s="367"/>
      <c r="M24" s="368">
        <f t="shared" si="3"/>
        <v>0</v>
      </c>
      <c r="N24" s="369"/>
      <c r="O24" s="370"/>
      <c r="P24" s="371"/>
      <c r="Q24" s="371"/>
      <c r="R24" s="372"/>
      <c r="T24" s="339">
        <f t="shared" si="4"/>
      </c>
    </row>
    <row r="25" spans="1:20" ht="13.5">
      <c r="A25" s="314"/>
      <c r="B25" s="315"/>
      <c r="C25" s="315"/>
      <c r="D25" s="315"/>
      <c r="E25" s="350"/>
      <c r="F25" s="363"/>
      <c r="G25" s="364"/>
      <c r="H25" s="365"/>
      <c r="I25" s="365"/>
      <c r="J25" s="366"/>
      <c r="K25" s="367">
        <f t="shared" si="2"/>
        <v>0</v>
      </c>
      <c r="L25" s="367"/>
      <c r="M25" s="368">
        <f t="shared" si="3"/>
        <v>0</v>
      </c>
      <c r="N25" s="369"/>
      <c r="O25" s="370"/>
      <c r="P25" s="371"/>
      <c r="Q25" s="371"/>
      <c r="R25" s="372"/>
      <c r="T25" s="339">
        <f t="shared" si="4"/>
      </c>
    </row>
    <row r="26" spans="1:20" ht="13.5">
      <c r="A26" s="314"/>
      <c r="B26" s="315"/>
      <c r="C26" s="315"/>
      <c r="D26" s="315"/>
      <c r="E26" s="350"/>
      <c r="F26" s="363"/>
      <c r="G26" s="364"/>
      <c r="H26" s="365"/>
      <c r="I26" s="365"/>
      <c r="J26" s="366"/>
      <c r="K26" s="367">
        <f t="shared" si="2"/>
        <v>0</v>
      </c>
      <c r="L26" s="367"/>
      <c r="M26" s="368">
        <f t="shared" si="3"/>
        <v>0</v>
      </c>
      <c r="N26" s="369"/>
      <c r="O26" s="370"/>
      <c r="P26" s="371"/>
      <c r="Q26" s="371"/>
      <c r="R26" s="373"/>
      <c r="T26" s="339">
        <f t="shared" si="4"/>
      </c>
    </row>
    <row r="27" spans="1:20" ht="13.5">
      <c r="A27" s="314"/>
      <c r="B27" s="315"/>
      <c r="C27" s="315"/>
      <c r="D27" s="315"/>
      <c r="E27" s="350"/>
      <c r="F27" s="374"/>
      <c r="G27" s="364"/>
      <c r="H27" s="375"/>
      <c r="I27" s="365"/>
      <c r="J27" s="366"/>
      <c r="K27" s="367">
        <f t="shared" si="2"/>
        <v>0</v>
      </c>
      <c r="L27" s="376"/>
      <c r="M27" s="368">
        <f t="shared" si="3"/>
        <v>0</v>
      </c>
      <c r="N27" s="369"/>
      <c r="O27" s="370"/>
      <c r="P27" s="371"/>
      <c r="Q27" s="371"/>
      <c r="R27" s="373"/>
      <c r="T27" s="339">
        <f t="shared" si="4"/>
      </c>
    </row>
    <row r="28" spans="1:20" ht="13.5">
      <c r="A28" s="314"/>
      <c r="B28" s="315"/>
      <c r="C28" s="315"/>
      <c r="D28" s="315"/>
      <c r="E28" s="350"/>
      <c r="F28" s="374"/>
      <c r="G28" s="377"/>
      <c r="H28" s="375"/>
      <c r="I28" s="365"/>
      <c r="J28" s="366"/>
      <c r="K28" s="367">
        <f t="shared" si="2"/>
        <v>0</v>
      </c>
      <c r="L28" s="378"/>
      <c r="M28" s="368">
        <f t="shared" si="3"/>
        <v>0</v>
      </c>
      <c r="N28" s="369"/>
      <c r="O28" s="370">
        <f>IF(F28="","",(4/T28)*H28/1000)</f>
      </c>
      <c r="P28" s="371"/>
      <c r="Q28" s="371"/>
      <c r="R28" s="372"/>
      <c r="T28" s="339">
        <f t="shared" si="4"/>
      </c>
    </row>
    <row r="29" spans="1:20" ht="13.5">
      <c r="A29" s="314"/>
      <c r="B29" s="315"/>
      <c r="C29" s="315"/>
      <c r="D29" s="315"/>
      <c r="E29" s="350"/>
      <c r="F29" s="374"/>
      <c r="G29" s="377"/>
      <c r="H29" s="375"/>
      <c r="I29" s="365"/>
      <c r="J29" s="366"/>
      <c r="K29" s="367">
        <f t="shared" si="2"/>
        <v>0</v>
      </c>
      <c r="L29" s="367"/>
      <c r="M29" s="368">
        <f t="shared" si="3"/>
        <v>0</v>
      </c>
      <c r="N29" s="369"/>
      <c r="O29" s="370"/>
      <c r="P29" s="371"/>
      <c r="Q29" s="371"/>
      <c r="R29" s="372"/>
      <c r="T29" s="339">
        <f t="shared" si="4"/>
      </c>
    </row>
    <row r="30" spans="1:20" ht="13.5">
      <c r="A30" s="314"/>
      <c r="B30" s="315"/>
      <c r="C30" s="315"/>
      <c r="D30" s="315"/>
      <c r="E30" s="350"/>
      <c r="F30" s="374"/>
      <c r="G30" s="364"/>
      <c r="H30" s="375"/>
      <c r="I30" s="365"/>
      <c r="J30" s="366"/>
      <c r="K30" s="367">
        <f t="shared" si="2"/>
        <v>0</v>
      </c>
      <c r="L30" s="367"/>
      <c r="M30" s="368">
        <f t="shared" si="3"/>
        <v>0</v>
      </c>
      <c r="N30" s="369"/>
      <c r="O30" s="370"/>
      <c r="P30" s="371"/>
      <c r="Q30" s="371"/>
      <c r="R30" s="372"/>
      <c r="T30" s="339">
        <f t="shared" si="4"/>
      </c>
    </row>
    <row r="31" spans="1:20" ht="13.5">
      <c r="A31" s="314"/>
      <c r="B31" s="315"/>
      <c r="C31" s="315"/>
      <c r="D31" s="315"/>
      <c r="E31" s="350"/>
      <c r="F31" s="374"/>
      <c r="G31" s="364"/>
      <c r="H31" s="375"/>
      <c r="I31" s="365"/>
      <c r="J31" s="366"/>
      <c r="K31" s="367">
        <f t="shared" si="2"/>
        <v>0</v>
      </c>
      <c r="L31" s="367"/>
      <c r="M31" s="368">
        <f t="shared" si="3"/>
        <v>0</v>
      </c>
      <c r="N31" s="369"/>
      <c r="O31" s="370"/>
      <c r="P31" s="371"/>
      <c r="Q31" s="371"/>
      <c r="R31" s="372"/>
      <c r="T31" s="339">
        <f t="shared" si="4"/>
      </c>
    </row>
    <row r="32" spans="1:20" ht="13.5">
      <c r="A32" s="314"/>
      <c r="B32" s="315"/>
      <c r="C32" s="315"/>
      <c r="D32" s="315"/>
      <c r="E32" s="350"/>
      <c r="F32" s="363"/>
      <c r="G32" s="364"/>
      <c r="H32" s="365"/>
      <c r="I32" s="365"/>
      <c r="J32" s="366"/>
      <c r="K32" s="367">
        <f t="shared" si="2"/>
        <v>0</v>
      </c>
      <c r="L32" s="367"/>
      <c r="M32" s="368">
        <f t="shared" si="3"/>
        <v>0</v>
      </c>
      <c r="N32" s="369"/>
      <c r="O32" s="370"/>
      <c r="P32" s="371"/>
      <c r="Q32" s="371"/>
      <c r="R32" s="372"/>
      <c r="T32" s="339">
        <f t="shared" si="4"/>
      </c>
    </row>
    <row r="33" spans="1:20" ht="13.5">
      <c r="A33" s="314"/>
      <c r="B33" s="315"/>
      <c r="C33" s="315"/>
      <c r="D33" s="315"/>
      <c r="E33" s="350"/>
      <c r="F33" s="363"/>
      <c r="G33" s="364"/>
      <c r="H33" s="365"/>
      <c r="I33" s="365"/>
      <c r="J33" s="366"/>
      <c r="K33" s="367">
        <f t="shared" si="2"/>
        <v>0</v>
      </c>
      <c r="L33" s="367"/>
      <c r="M33" s="368">
        <f t="shared" si="3"/>
        <v>0</v>
      </c>
      <c r="N33" s="369"/>
      <c r="O33" s="370"/>
      <c r="P33" s="371"/>
      <c r="Q33" s="371"/>
      <c r="R33" s="379"/>
      <c r="T33" s="339">
        <f t="shared" si="4"/>
      </c>
    </row>
    <row r="34" spans="1:20" ht="13.5">
      <c r="A34" s="314"/>
      <c r="B34" s="315"/>
      <c r="C34" s="315"/>
      <c r="D34" s="315"/>
      <c r="E34" s="350"/>
      <c r="F34" s="374"/>
      <c r="G34" s="364"/>
      <c r="H34" s="365"/>
      <c r="I34" s="375"/>
      <c r="J34" s="380"/>
      <c r="K34" s="367">
        <f t="shared" si="2"/>
        <v>0</v>
      </c>
      <c r="L34" s="376"/>
      <c r="M34" s="368">
        <f t="shared" si="3"/>
        <v>0</v>
      </c>
      <c r="N34" s="381"/>
      <c r="O34" s="370">
        <f>IF(F34="","",(4/T34)*H34/1000)</f>
      </c>
      <c r="P34" s="382"/>
      <c r="Q34" s="382"/>
      <c r="R34" s="383"/>
      <c r="T34" s="339">
        <f t="shared" si="4"/>
      </c>
    </row>
    <row r="35" spans="1:20" ht="13.5">
      <c r="A35" s="314"/>
      <c r="B35" s="315"/>
      <c r="C35" s="315"/>
      <c r="D35" s="315"/>
      <c r="E35" s="350"/>
      <c r="F35" s="374"/>
      <c r="G35" s="364"/>
      <c r="H35" s="365"/>
      <c r="I35" s="375"/>
      <c r="J35" s="380"/>
      <c r="K35" s="367">
        <f t="shared" si="2"/>
        <v>0</v>
      </c>
      <c r="L35" s="376"/>
      <c r="M35" s="368">
        <f t="shared" si="3"/>
        <v>0</v>
      </c>
      <c r="N35" s="381"/>
      <c r="O35" s="384"/>
      <c r="P35" s="382"/>
      <c r="Q35" s="382"/>
      <c r="R35" s="383"/>
      <c r="T35" s="339">
        <f t="shared" si="4"/>
      </c>
    </row>
    <row r="36" spans="1:20" ht="13.5">
      <c r="A36" s="314"/>
      <c r="B36" s="315"/>
      <c r="C36" s="315"/>
      <c r="D36" s="315"/>
      <c r="E36" s="350"/>
      <c r="F36" s="374"/>
      <c r="G36" s="364"/>
      <c r="H36" s="365"/>
      <c r="I36" s="375"/>
      <c r="J36" s="380"/>
      <c r="K36" s="367"/>
      <c r="L36" s="376"/>
      <c r="M36" s="368"/>
      <c r="N36" s="381"/>
      <c r="O36" s="384"/>
      <c r="P36" s="382"/>
      <c r="Q36" s="382"/>
      <c r="R36" s="383"/>
      <c r="T36" s="339">
        <f t="shared" si="4"/>
      </c>
    </row>
    <row r="37" spans="1:20" ht="13.5">
      <c r="A37" s="314"/>
      <c r="B37" s="315"/>
      <c r="C37" s="315"/>
      <c r="D37" s="315"/>
      <c r="E37" s="350"/>
      <c r="F37" s="374"/>
      <c r="G37" s="364"/>
      <c r="H37" s="365"/>
      <c r="I37" s="375"/>
      <c r="J37" s="380"/>
      <c r="K37" s="367"/>
      <c r="L37" s="376"/>
      <c r="M37" s="368"/>
      <c r="N37" s="381"/>
      <c r="O37" s="384"/>
      <c r="P37" s="382"/>
      <c r="Q37" s="382"/>
      <c r="R37" s="383"/>
      <c r="T37" s="339">
        <f t="shared" si="4"/>
      </c>
    </row>
    <row r="38" spans="1:20" ht="13.5">
      <c r="A38" s="314"/>
      <c r="B38" s="315"/>
      <c r="C38" s="315"/>
      <c r="D38" s="315"/>
      <c r="E38" s="350"/>
      <c r="F38" s="374"/>
      <c r="G38" s="364"/>
      <c r="H38" s="365"/>
      <c r="I38" s="375"/>
      <c r="J38" s="380"/>
      <c r="K38" s="367">
        <f>ROUND((I38*J38)/1000,2)</f>
        <v>0</v>
      </c>
      <c r="L38" s="376"/>
      <c r="M38" s="368">
        <f>SUM(K38:L38)</f>
        <v>0</v>
      </c>
      <c r="N38" s="381"/>
      <c r="O38" s="370">
        <f>IF(F38="","",(4/T38)*H38/1000)</f>
      </c>
      <c r="P38" s="382"/>
      <c r="Q38" s="382"/>
      <c r="R38" s="383"/>
      <c r="T38" s="339">
        <f t="shared" si="4"/>
      </c>
    </row>
    <row r="39" spans="1:20" ht="13.5">
      <c r="A39" s="314"/>
      <c r="B39" s="315"/>
      <c r="C39" s="315"/>
      <c r="D39" s="315"/>
      <c r="E39" s="350"/>
      <c r="F39" s="374"/>
      <c r="G39" s="364"/>
      <c r="H39" s="365"/>
      <c r="I39" s="375"/>
      <c r="J39" s="380"/>
      <c r="K39" s="367">
        <f>ROUND((I39*J39)/1000,2)</f>
        <v>0</v>
      </c>
      <c r="L39" s="376"/>
      <c r="M39" s="368">
        <f>SUM(K39:L39)</f>
        <v>0</v>
      </c>
      <c r="N39" s="381"/>
      <c r="O39" s="384"/>
      <c r="P39" s="382"/>
      <c r="Q39" s="382"/>
      <c r="R39" s="383"/>
      <c r="T39" s="339">
        <f t="shared" si="4"/>
      </c>
    </row>
    <row r="40" spans="1:20" ht="13.5">
      <c r="A40" s="314"/>
      <c r="B40" s="315"/>
      <c r="C40" s="315"/>
      <c r="D40" s="315"/>
      <c r="E40" s="350"/>
      <c r="F40" s="363"/>
      <c r="G40" s="364"/>
      <c r="H40" s="365"/>
      <c r="I40" s="365"/>
      <c r="J40" s="380"/>
      <c r="K40" s="367">
        <f>ROUND((I40*J40)/1000,2)</f>
        <v>0</v>
      </c>
      <c r="L40" s="367"/>
      <c r="M40" s="368">
        <f>SUM(K40:L40)</f>
        <v>0</v>
      </c>
      <c r="N40" s="369"/>
      <c r="O40" s="370"/>
      <c r="P40" s="385"/>
      <c r="Q40" s="371"/>
      <c r="R40" s="372"/>
      <c r="T40" s="339">
        <f t="shared" si="4"/>
      </c>
    </row>
    <row r="41" spans="1:20" ht="13.5">
      <c r="A41" s="314"/>
      <c r="B41" s="315"/>
      <c r="C41" s="315"/>
      <c r="D41" s="315"/>
      <c r="E41" s="350"/>
      <c r="F41" s="363"/>
      <c r="G41" s="364"/>
      <c r="H41" s="365"/>
      <c r="I41" s="365"/>
      <c r="J41" s="366"/>
      <c r="K41" s="367"/>
      <c r="L41" s="367"/>
      <c r="M41" s="368"/>
      <c r="N41" s="369"/>
      <c r="O41" s="370"/>
      <c r="P41" s="371"/>
      <c r="Q41" s="371"/>
      <c r="R41" s="372"/>
      <c r="T41" s="339">
        <f t="shared" si="4"/>
      </c>
    </row>
    <row r="42" spans="1:20" ht="13.5">
      <c r="A42" s="314"/>
      <c r="B42" s="315"/>
      <c r="C42" s="315"/>
      <c r="D42" s="315"/>
      <c r="E42" s="350"/>
      <c r="F42" s="363"/>
      <c r="G42" s="364"/>
      <c r="H42" s="365"/>
      <c r="I42" s="365"/>
      <c r="J42" s="366"/>
      <c r="K42" s="367"/>
      <c r="L42" s="367"/>
      <c r="M42" s="368"/>
      <c r="N42" s="369"/>
      <c r="O42" s="370"/>
      <c r="P42" s="371"/>
      <c r="Q42" s="371"/>
      <c r="R42" s="372"/>
      <c r="T42" s="339">
        <f t="shared" si="4"/>
      </c>
    </row>
    <row r="43" spans="1:20" ht="13.5">
      <c r="A43" s="314"/>
      <c r="B43" s="315"/>
      <c r="C43" s="315"/>
      <c r="D43" s="315"/>
      <c r="E43" s="350"/>
      <c r="F43" s="386"/>
      <c r="G43" s="387"/>
      <c r="H43" s="388"/>
      <c r="I43" s="365"/>
      <c r="J43" s="389"/>
      <c r="K43" s="367">
        <f aca="true" t="shared" si="5" ref="K43:K48">ROUND((I43*J43)/1000,2)</f>
        <v>0</v>
      </c>
      <c r="L43" s="390"/>
      <c r="M43" s="368">
        <f aca="true" t="shared" si="6" ref="M43:M48">SUM(K43:L43)</f>
        <v>0</v>
      </c>
      <c r="N43" s="391"/>
      <c r="O43" s="370">
        <f>IF(F43="","",(4/T43)*H43/1000)</f>
      </c>
      <c r="P43" s="371"/>
      <c r="Q43" s="371"/>
      <c r="R43" s="372"/>
      <c r="T43" s="339">
        <f t="shared" si="4"/>
      </c>
    </row>
    <row r="44" spans="1:20" ht="13.5">
      <c r="A44" s="314"/>
      <c r="B44" s="315"/>
      <c r="C44" s="315"/>
      <c r="D44" s="315"/>
      <c r="E44" s="350"/>
      <c r="F44" s="386"/>
      <c r="G44" s="387"/>
      <c r="H44" s="388"/>
      <c r="I44" s="365"/>
      <c r="J44" s="389"/>
      <c r="K44" s="367">
        <f t="shared" si="5"/>
        <v>0</v>
      </c>
      <c r="L44" s="390"/>
      <c r="M44" s="368">
        <f t="shared" si="6"/>
        <v>0</v>
      </c>
      <c r="N44" s="369"/>
      <c r="O44" s="370"/>
      <c r="P44" s="371"/>
      <c r="Q44" s="371"/>
      <c r="R44" s="372"/>
      <c r="T44" s="339">
        <f t="shared" si="4"/>
      </c>
    </row>
    <row r="45" spans="1:20" ht="13.5">
      <c r="A45" s="314"/>
      <c r="B45" s="315"/>
      <c r="C45" s="315"/>
      <c r="D45" s="315"/>
      <c r="E45" s="350"/>
      <c r="F45" s="386"/>
      <c r="G45" s="387"/>
      <c r="H45" s="388"/>
      <c r="I45" s="388"/>
      <c r="J45" s="389"/>
      <c r="K45" s="367">
        <f t="shared" si="5"/>
        <v>0</v>
      </c>
      <c r="L45" s="390"/>
      <c r="M45" s="368">
        <f t="shared" si="6"/>
        <v>0</v>
      </c>
      <c r="N45" s="369"/>
      <c r="O45" s="370"/>
      <c r="P45" s="371"/>
      <c r="Q45" s="371"/>
      <c r="R45" s="372"/>
      <c r="T45" s="339">
        <f t="shared" si="4"/>
      </c>
    </row>
    <row r="46" spans="1:20" ht="13.5">
      <c r="A46" s="314"/>
      <c r="B46" s="315"/>
      <c r="C46" s="315"/>
      <c r="D46" s="315"/>
      <c r="E46" s="350"/>
      <c r="F46" s="386"/>
      <c r="G46" s="387"/>
      <c r="H46" s="388"/>
      <c r="I46" s="388"/>
      <c r="J46" s="389"/>
      <c r="K46" s="367">
        <f t="shared" si="5"/>
        <v>0</v>
      </c>
      <c r="L46" s="390"/>
      <c r="M46" s="368">
        <f t="shared" si="6"/>
        <v>0</v>
      </c>
      <c r="N46" s="391"/>
      <c r="O46" s="370"/>
      <c r="P46" s="371"/>
      <c r="Q46" s="371"/>
      <c r="R46" s="372"/>
      <c r="T46" s="339">
        <f t="shared" si="4"/>
      </c>
    </row>
    <row r="47" spans="1:20" ht="13.5">
      <c r="A47" s="314"/>
      <c r="B47" s="315"/>
      <c r="C47" s="315"/>
      <c r="D47" s="315"/>
      <c r="E47" s="350"/>
      <c r="F47" s="386"/>
      <c r="G47" s="387"/>
      <c r="H47" s="388"/>
      <c r="I47" s="388"/>
      <c r="J47" s="389"/>
      <c r="K47" s="367">
        <f t="shared" si="5"/>
        <v>0</v>
      </c>
      <c r="L47" s="390"/>
      <c r="M47" s="368">
        <f t="shared" si="6"/>
        <v>0</v>
      </c>
      <c r="N47" s="391"/>
      <c r="O47" s="370"/>
      <c r="P47" s="371"/>
      <c r="Q47" s="371"/>
      <c r="R47" s="392"/>
      <c r="T47" s="339">
        <f t="shared" si="4"/>
      </c>
    </row>
    <row r="48" spans="1:20" ht="13.5">
      <c r="A48" s="314"/>
      <c r="B48" s="315"/>
      <c r="C48" s="315"/>
      <c r="D48" s="315"/>
      <c r="E48" s="350"/>
      <c r="F48" s="386"/>
      <c r="G48" s="387"/>
      <c r="H48" s="388"/>
      <c r="I48" s="388"/>
      <c r="J48" s="389"/>
      <c r="K48" s="367">
        <f t="shared" si="5"/>
        <v>0</v>
      </c>
      <c r="L48" s="390"/>
      <c r="M48" s="368">
        <f t="shared" si="6"/>
        <v>0</v>
      </c>
      <c r="N48" s="391"/>
      <c r="O48" s="370"/>
      <c r="P48" s="371"/>
      <c r="Q48" s="371"/>
      <c r="R48" s="393"/>
      <c r="T48" s="339">
        <f t="shared" si="4"/>
      </c>
    </row>
    <row r="49" spans="1:20" ht="13.5">
      <c r="A49" s="314"/>
      <c r="B49" s="315"/>
      <c r="C49" s="315"/>
      <c r="D49" s="315"/>
      <c r="E49" s="350"/>
      <c r="F49" s="386"/>
      <c r="G49" s="387"/>
      <c r="H49" s="388"/>
      <c r="I49" s="388"/>
      <c r="J49" s="389"/>
      <c r="K49" s="394"/>
      <c r="L49" s="390"/>
      <c r="M49" s="395"/>
      <c r="N49" s="396"/>
      <c r="O49" s="370"/>
      <c r="P49" s="371"/>
      <c r="Q49" s="371"/>
      <c r="R49" s="372"/>
      <c r="T49" s="339">
        <f t="shared" si="4"/>
      </c>
    </row>
    <row r="50" spans="1:20" ht="13.5">
      <c r="A50" s="314"/>
      <c r="B50" s="315"/>
      <c r="C50" s="315"/>
      <c r="D50" s="315"/>
      <c r="E50" s="350"/>
      <c r="F50" s="386"/>
      <c r="G50" s="387"/>
      <c r="H50" s="388"/>
      <c r="I50" s="388"/>
      <c r="J50" s="389"/>
      <c r="K50" s="394"/>
      <c r="L50" s="390"/>
      <c r="M50" s="395"/>
      <c r="N50" s="396"/>
      <c r="O50" s="370"/>
      <c r="P50" s="371"/>
      <c r="Q50" s="371"/>
      <c r="R50" s="372"/>
      <c r="T50" s="339">
        <f t="shared" si="4"/>
      </c>
    </row>
    <row r="51" spans="1:20" ht="13.5">
      <c r="A51" s="314"/>
      <c r="B51" s="315"/>
      <c r="C51" s="315"/>
      <c r="D51" s="315"/>
      <c r="E51" s="350"/>
      <c r="F51" s="386"/>
      <c r="G51" s="387"/>
      <c r="H51" s="388"/>
      <c r="I51" s="388"/>
      <c r="J51" s="389"/>
      <c r="K51" s="367">
        <f>ROUND((I51*J51)/1000,2)</f>
        <v>0</v>
      </c>
      <c r="L51" s="390"/>
      <c r="M51" s="368">
        <f>SUM(K51:L51)</f>
        <v>0</v>
      </c>
      <c r="N51" s="396"/>
      <c r="O51" s="370">
        <f>IF(F51="","",(4/T51)*H51/1000)</f>
      </c>
      <c r="P51" s="371"/>
      <c r="Q51" s="371"/>
      <c r="R51" s="372"/>
      <c r="T51" s="339">
        <f t="shared" si="4"/>
      </c>
    </row>
    <row r="52" spans="1:20" ht="13.5">
      <c r="A52" s="314"/>
      <c r="B52" s="315"/>
      <c r="C52" s="315"/>
      <c r="D52" s="315"/>
      <c r="E52" s="350"/>
      <c r="F52" s="363"/>
      <c r="G52" s="364"/>
      <c r="H52" s="365"/>
      <c r="I52" s="365"/>
      <c r="J52" s="366"/>
      <c r="K52" s="367">
        <f>ROUND((I52*J52)/1000,2)</f>
        <v>0</v>
      </c>
      <c r="L52" s="367"/>
      <c r="M52" s="368">
        <f>SUM(K52:L52)</f>
        <v>0</v>
      </c>
      <c r="N52" s="369"/>
      <c r="O52" s="370"/>
      <c r="P52" s="371"/>
      <c r="Q52" s="371"/>
      <c r="R52" s="372"/>
      <c r="T52" s="339">
        <f t="shared" si="4"/>
      </c>
    </row>
    <row r="53" spans="1:20" ht="13.5">
      <c r="A53" s="314"/>
      <c r="B53" s="315"/>
      <c r="C53" s="335"/>
      <c r="D53" s="315"/>
      <c r="E53" s="350"/>
      <c r="F53" s="363"/>
      <c r="G53" s="364"/>
      <c r="H53" s="365"/>
      <c r="I53" s="375"/>
      <c r="J53" s="366"/>
      <c r="K53" s="367"/>
      <c r="L53" s="367"/>
      <c r="M53" s="368"/>
      <c r="N53" s="369"/>
      <c r="O53" s="370"/>
      <c r="P53" s="371"/>
      <c r="Q53" s="371"/>
      <c r="R53" s="372"/>
      <c r="T53" s="339">
        <f t="shared" si="4"/>
      </c>
    </row>
    <row r="54" spans="1:20" ht="13.5">
      <c r="A54" s="314"/>
      <c r="B54" s="315"/>
      <c r="C54" s="315"/>
      <c r="D54" s="315"/>
      <c r="E54" s="350"/>
      <c r="F54" s="363"/>
      <c r="G54" s="364"/>
      <c r="H54" s="365"/>
      <c r="I54" s="375"/>
      <c r="J54" s="366"/>
      <c r="K54" s="367"/>
      <c r="L54" s="367"/>
      <c r="M54" s="368"/>
      <c r="N54" s="369"/>
      <c r="O54" s="370"/>
      <c r="P54" s="371"/>
      <c r="Q54" s="371"/>
      <c r="R54" s="379"/>
      <c r="T54" s="339">
        <f t="shared" si="4"/>
      </c>
    </row>
    <row r="55" spans="1:20" ht="13.5">
      <c r="A55" s="314"/>
      <c r="B55" s="315"/>
      <c r="C55" s="315"/>
      <c r="D55" s="315"/>
      <c r="E55" s="350"/>
      <c r="F55" s="363"/>
      <c r="G55" s="364"/>
      <c r="H55" s="365"/>
      <c r="I55" s="375"/>
      <c r="J55" s="366"/>
      <c r="K55" s="367">
        <f>ROUND((I55*J55)/1000,2)</f>
        <v>0</v>
      </c>
      <c r="L55" s="367"/>
      <c r="M55" s="368">
        <f>SUM(K55:L55)</f>
        <v>0</v>
      </c>
      <c r="N55" s="369"/>
      <c r="O55" s="370">
        <f>IF(F55="","",(4/T55)*H55/1000)</f>
      </c>
      <c r="P55" s="371"/>
      <c r="Q55" s="371"/>
      <c r="R55" s="379"/>
      <c r="T55" s="339">
        <f t="shared" si="4"/>
      </c>
    </row>
    <row r="56" spans="1:20" ht="13.5">
      <c r="A56" s="314"/>
      <c r="B56" s="315"/>
      <c r="C56" s="315"/>
      <c r="D56" s="315"/>
      <c r="E56" s="350"/>
      <c r="F56" s="363"/>
      <c r="G56" s="364"/>
      <c r="H56" s="365"/>
      <c r="I56" s="375"/>
      <c r="J56" s="366"/>
      <c r="K56" s="367">
        <f>ROUND((I56*J56)/1000,2)</f>
        <v>0</v>
      </c>
      <c r="L56" s="367"/>
      <c r="M56" s="368">
        <f>SUM(K56:L56)</f>
        <v>0</v>
      </c>
      <c r="N56" s="369"/>
      <c r="O56" s="370"/>
      <c r="P56" s="371"/>
      <c r="Q56" s="371"/>
      <c r="R56" s="379"/>
      <c r="T56" s="339">
        <f t="shared" si="4"/>
      </c>
    </row>
    <row r="57" spans="1:20" ht="13.5">
      <c r="A57" s="314"/>
      <c r="B57" s="315"/>
      <c r="C57" s="315"/>
      <c r="D57" s="315"/>
      <c r="E57" s="350"/>
      <c r="F57" s="363"/>
      <c r="G57" s="364"/>
      <c r="H57" s="365"/>
      <c r="I57" s="375"/>
      <c r="J57" s="366"/>
      <c r="K57" s="367">
        <f>ROUND((I57*J57)/1000,2)</f>
        <v>0</v>
      </c>
      <c r="L57" s="367"/>
      <c r="M57" s="368">
        <f>SUM(K57:L57)</f>
        <v>0</v>
      </c>
      <c r="N57" s="369"/>
      <c r="O57" s="370"/>
      <c r="P57" s="371"/>
      <c r="Q57" s="371"/>
      <c r="R57" s="379"/>
      <c r="T57" s="339">
        <f t="shared" si="4"/>
      </c>
    </row>
    <row r="58" spans="1:20" ht="13.5">
      <c r="A58" s="314"/>
      <c r="B58" s="315"/>
      <c r="C58" s="315"/>
      <c r="D58" s="315"/>
      <c r="E58" s="350"/>
      <c r="F58" s="363"/>
      <c r="G58" s="364"/>
      <c r="H58" s="365"/>
      <c r="I58" s="397"/>
      <c r="J58" s="366"/>
      <c r="K58" s="367">
        <f>ROUND((I58*J58)/1000,2)</f>
        <v>0</v>
      </c>
      <c r="L58" s="367"/>
      <c r="M58" s="368">
        <f>SUM(K58:L58)</f>
        <v>0</v>
      </c>
      <c r="N58" s="369"/>
      <c r="O58" s="370"/>
      <c r="P58" s="371"/>
      <c r="Q58" s="371"/>
      <c r="R58" s="379"/>
      <c r="T58" s="339">
        <f t="shared" si="4"/>
      </c>
    </row>
    <row r="59" spans="1:20" ht="13.5">
      <c r="A59" s="314"/>
      <c r="B59" s="315"/>
      <c r="C59" s="315"/>
      <c r="D59" s="315"/>
      <c r="E59" s="350"/>
      <c r="F59" s="363"/>
      <c r="G59" s="364"/>
      <c r="H59" s="365"/>
      <c r="I59" s="397"/>
      <c r="J59" s="366"/>
      <c r="K59" s="367"/>
      <c r="L59" s="367"/>
      <c r="M59" s="368"/>
      <c r="N59" s="369"/>
      <c r="O59" s="370"/>
      <c r="P59" s="371"/>
      <c r="Q59" s="371"/>
      <c r="R59" s="379"/>
      <c r="T59" s="339">
        <f t="shared" si="4"/>
      </c>
    </row>
    <row r="60" spans="1:20" ht="13.5">
      <c r="A60" s="318"/>
      <c r="B60" s="319"/>
      <c r="C60" s="315" t="s">
        <v>119</v>
      </c>
      <c r="D60" s="315"/>
      <c r="E60" s="350"/>
      <c r="F60" s="363"/>
      <c r="G60" s="364"/>
      <c r="H60" s="397"/>
      <c r="I60" s="397"/>
      <c r="J60" s="366"/>
      <c r="K60" s="367"/>
      <c r="L60" s="367"/>
      <c r="M60" s="367">
        <f>SUM(M20:M59)</f>
        <v>0</v>
      </c>
      <c r="N60" s="398"/>
      <c r="O60" s="370"/>
      <c r="P60" s="371"/>
      <c r="Q60" s="371"/>
      <c r="R60" s="379"/>
      <c r="T60" s="339">
        <f t="shared" si="4"/>
      </c>
    </row>
    <row r="61" spans="1:20" ht="13.5">
      <c r="A61" s="318"/>
      <c r="B61" s="319"/>
      <c r="C61" s="315" t="s">
        <v>120</v>
      </c>
      <c r="D61" s="315"/>
      <c r="E61" s="350"/>
      <c r="F61" s="363"/>
      <c r="G61" s="364"/>
      <c r="H61" s="397"/>
      <c r="I61" s="397"/>
      <c r="J61" s="366"/>
      <c r="K61" s="367"/>
      <c r="L61" s="367"/>
      <c r="M61" s="367"/>
      <c r="N61" s="398"/>
      <c r="O61" s="370"/>
      <c r="P61" s="371"/>
      <c r="Q61" s="371"/>
      <c r="R61" s="392"/>
      <c r="T61" s="339">
        <f t="shared" si="4"/>
      </c>
    </row>
    <row r="62" spans="1:20" ht="13.5">
      <c r="A62" s="318"/>
      <c r="B62" s="319"/>
      <c r="C62" s="315" t="s">
        <v>121</v>
      </c>
      <c r="D62" s="315"/>
      <c r="E62" s="350"/>
      <c r="F62" s="399"/>
      <c r="G62" s="364"/>
      <c r="H62" s="397"/>
      <c r="I62" s="397"/>
      <c r="J62" s="366"/>
      <c r="K62" s="367"/>
      <c r="L62" s="367"/>
      <c r="M62" s="367"/>
      <c r="N62" s="398"/>
      <c r="O62" s="370"/>
      <c r="P62" s="371"/>
      <c r="Q62" s="371"/>
      <c r="R62" s="393"/>
      <c r="T62" s="339">
        <f t="shared" si="4"/>
      </c>
    </row>
    <row r="63" spans="1:20" ht="14.25" thickBot="1">
      <c r="A63" s="340"/>
      <c r="B63" s="341"/>
      <c r="C63" s="452" t="s">
        <v>70</v>
      </c>
      <c r="D63" s="316"/>
      <c r="E63" s="453"/>
      <c r="F63" s="401"/>
      <c r="G63" s="402"/>
      <c r="H63" s="403"/>
      <c r="I63" s="403"/>
      <c r="J63" s="404"/>
      <c r="K63" s="405"/>
      <c r="L63" s="406"/>
      <c r="M63" s="407">
        <f>SUM(M60:M62)</f>
        <v>0</v>
      </c>
      <c r="N63" s="408"/>
      <c r="O63" s="409"/>
      <c r="P63" s="470"/>
      <c r="Q63" s="470"/>
      <c r="R63" s="471"/>
      <c r="T63" s="317" t="s">
        <v>72</v>
      </c>
    </row>
    <row r="64" spans="1:20" ht="14.25" thickBot="1">
      <c r="A64" s="472" t="s">
        <v>37</v>
      </c>
      <c r="B64" s="473"/>
      <c r="C64" s="473"/>
      <c r="D64" s="473"/>
      <c r="E64" s="474"/>
      <c r="F64" s="410">
        <f>+M63</f>
        <v>0</v>
      </c>
      <c r="G64" s="411" t="s">
        <v>298</v>
      </c>
      <c r="H64" s="412">
        <f>ROUND(F64*0.0098,2)</f>
        <v>0</v>
      </c>
      <c r="I64" s="411" t="str">
        <f>IF(J64&gt;H64,"&lt;","&gt;")</f>
        <v>&lt;</v>
      </c>
      <c r="J64" s="449">
        <v>0.245</v>
      </c>
      <c r="K64" s="413" t="s">
        <v>37</v>
      </c>
      <c r="L64" s="475">
        <f>IF(M63&lt;&gt;0,25&amp;"-"&amp;M63,"")</f>
      </c>
      <c r="M64" s="475"/>
      <c r="N64" s="414" t="s">
        <v>299</v>
      </c>
      <c r="O64" s="454">
        <f>IF(F64&lt;&gt;0,25-F64,)</f>
        <v>0</v>
      </c>
      <c r="P64" s="454"/>
      <c r="Q64" s="454" t="s">
        <v>317</v>
      </c>
      <c r="R64" s="455"/>
      <c r="T64" s="450" t="str">
        <f>IF(I64="&lt;","OK!","×")</f>
        <v>OK!</v>
      </c>
    </row>
    <row r="65" spans="1:18" ht="13.5">
      <c r="A65" s="318"/>
      <c r="B65" s="319"/>
      <c r="C65" s="319"/>
      <c r="D65" s="319"/>
      <c r="E65" s="319"/>
      <c r="F65" s="315"/>
      <c r="G65" s="315"/>
      <c r="H65" s="315"/>
      <c r="I65" s="315"/>
      <c r="J65" s="330"/>
      <c r="K65" s="330"/>
      <c r="L65" s="330"/>
      <c r="M65" s="330"/>
      <c r="N65" s="330"/>
      <c r="O65" s="330"/>
      <c r="P65" s="330"/>
      <c r="Q65" s="330"/>
      <c r="R65" s="338"/>
    </row>
    <row r="66" spans="1:18" s="441" customFormat="1" ht="13.5">
      <c r="A66" s="465" t="s">
        <v>32</v>
      </c>
      <c r="B66" s="466"/>
      <c r="C66" s="466"/>
      <c r="D66" s="466"/>
      <c r="E66" s="466"/>
      <c r="F66" s="466"/>
      <c r="G66" s="202">
        <v>0.25</v>
      </c>
      <c r="H66" s="138" t="s">
        <v>300</v>
      </c>
      <c r="I66" s="437"/>
      <c r="J66" s="138" t="s">
        <v>300</v>
      </c>
      <c r="K66" s="438"/>
      <c r="L66" s="138" t="s">
        <v>301</v>
      </c>
      <c r="M66" s="439">
        <f>+G66*I66*K66</f>
        <v>0</v>
      </c>
      <c r="N66" s="440" t="s">
        <v>302</v>
      </c>
      <c r="O66" s="440"/>
      <c r="P66" s="440"/>
      <c r="Q66" s="440"/>
      <c r="R66" s="149"/>
    </row>
    <row r="67" spans="1:18" ht="13.5">
      <c r="A67" s="340"/>
      <c r="B67" s="341"/>
      <c r="C67" s="341"/>
      <c r="D67" s="341"/>
      <c r="E67" s="341"/>
      <c r="F67" s="316"/>
      <c r="G67" s="316"/>
      <c r="H67" s="342"/>
      <c r="I67" s="342"/>
      <c r="J67" s="417"/>
      <c r="K67" s="417"/>
      <c r="L67" s="417"/>
      <c r="M67" s="417"/>
      <c r="N67" s="417"/>
      <c r="O67" s="417"/>
      <c r="P67" s="417"/>
      <c r="Q67" s="417"/>
      <c r="R67" s="418"/>
    </row>
    <row r="68" spans="11:12" ht="13.5">
      <c r="K68" s="421"/>
      <c r="L68" s="421"/>
    </row>
    <row r="69" spans="11:12" ht="13.5">
      <c r="K69" s="421"/>
      <c r="L69" s="421"/>
    </row>
    <row r="70" spans="11:12" ht="13.5">
      <c r="K70" s="422"/>
      <c r="L70" s="422"/>
    </row>
    <row r="71" spans="11:12" ht="13.5">
      <c r="K71" s="422"/>
      <c r="L71" s="422"/>
    </row>
    <row r="72" spans="11:12" ht="13.5">
      <c r="K72" s="422"/>
      <c r="L72" s="422"/>
    </row>
    <row r="73" spans="11:12" ht="13.5">
      <c r="K73" s="422"/>
      <c r="L73" s="422"/>
    </row>
    <row r="74" spans="11:12" ht="13.5">
      <c r="K74" s="422"/>
      <c r="L74" s="422"/>
    </row>
    <row r="75" spans="11:12" ht="13.5">
      <c r="K75" s="422"/>
      <c r="L75" s="422"/>
    </row>
    <row r="76" spans="11:12" ht="13.5">
      <c r="K76" s="422"/>
      <c r="L76" s="422"/>
    </row>
    <row r="77" spans="11:12" ht="13.5">
      <c r="K77" s="422"/>
      <c r="L77" s="422"/>
    </row>
    <row r="78" spans="11:12" ht="13.5">
      <c r="K78" s="422"/>
      <c r="L78" s="422"/>
    </row>
    <row r="79" spans="11:12" ht="13.5">
      <c r="K79" s="422"/>
      <c r="L79" s="422"/>
    </row>
    <row r="80" spans="11:12" ht="13.5">
      <c r="K80" s="422"/>
      <c r="L80" s="422"/>
    </row>
  </sheetData>
  <sheetProtection/>
  <mergeCells count="12">
    <mergeCell ref="N18:O18"/>
    <mergeCell ref="N19:O19"/>
    <mergeCell ref="Q64:R64"/>
    <mergeCell ref="O64:P64"/>
    <mergeCell ref="A1:R1"/>
    <mergeCell ref="A18:E19"/>
    <mergeCell ref="A66:F66"/>
    <mergeCell ref="K4:R5"/>
    <mergeCell ref="P63:R63"/>
    <mergeCell ref="K7:R8"/>
    <mergeCell ref="A64:E64"/>
    <mergeCell ref="L64:M64"/>
  </mergeCells>
  <conditionalFormatting sqref="T64">
    <cfRule type="cellIs" priority="1" dxfId="13" operator="equal" stopIfTrue="1">
      <formula>"OK!"</formula>
    </cfRule>
    <cfRule type="cellIs" priority="2" dxfId="14" operator="equal" stopIfTrue="1">
      <formula>"×"</formula>
    </cfRule>
  </conditionalFormatting>
  <printOptions/>
  <pageMargins left="0.59" right="0.26" top="0.6299212598425197" bottom="0.41" header="0.5118110236220472" footer="0.2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83"/>
  <sheetViews>
    <sheetView showZeros="0" view="pageBreakPreview" zoomScale="85" zoomScaleSheetLayoutView="85" zoomScalePageLayoutView="0" workbookViewId="0" topLeftCell="A1">
      <selection activeCell="I72" sqref="I72"/>
    </sheetView>
  </sheetViews>
  <sheetFormatPr defaultColWidth="3.25390625" defaultRowHeight="13.5"/>
  <cols>
    <col min="1" max="1" width="4.25390625" style="419" customWidth="1"/>
    <col min="2" max="2" width="2.00390625" style="419" customWidth="1"/>
    <col min="3" max="3" width="6.125" style="419" customWidth="1"/>
    <col min="4" max="4" width="1.37890625" style="419" customWidth="1"/>
    <col min="5" max="5" width="6.125" style="419" customWidth="1"/>
    <col min="6" max="6" width="6.75390625" style="325" customWidth="1"/>
    <col min="7" max="7" width="6.625" style="325" customWidth="1"/>
    <col min="8" max="8" width="7.125" style="317" customWidth="1"/>
    <col min="9" max="9" width="8.375" style="317" customWidth="1"/>
    <col min="10" max="10" width="9.875" style="420" customWidth="1"/>
    <col min="11" max="11" width="8.00390625" style="317" customWidth="1"/>
    <col min="12" max="12" width="6.125" style="317" customWidth="1"/>
    <col min="13" max="13" width="12.25390625" style="317" customWidth="1"/>
    <col min="14" max="14" width="2.625" style="317" bestFit="1" customWidth="1"/>
    <col min="15" max="15" width="5.875" style="317" customWidth="1"/>
    <col min="16" max="16" width="5.375" style="317" customWidth="1"/>
    <col min="17" max="17" width="4.25390625" style="317" customWidth="1"/>
    <col min="18" max="18" width="3.375" style="317" customWidth="1"/>
    <col min="19" max="19" width="3.25390625" style="317" customWidth="1"/>
    <col min="20" max="20" width="5.50390625" style="317" customWidth="1"/>
    <col min="21" max="16384" width="3.25390625" style="317" customWidth="1"/>
  </cols>
  <sheetData>
    <row r="1" spans="1:18" ht="17.25">
      <c r="A1" s="456" t="s">
        <v>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</row>
    <row r="2" spans="1:22" s="325" customFormat="1" ht="13.5">
      <c r="A2" s="318" t="s">
        <v>248</v>
      </c>
      <c r="B2" s="319"/>
      <c r="C2" s="315"/>
      <c r="D2" s="315"/>
      <c r="E2" s="315"/>
      <c r="F2" s="315"/>
      <c r="G2" s="315"/>
      <c r="H2" s="315"/>
      <c r="I2" s="315"/>
      <c r="J2" s="315"/>
      <c r="K2" s="427" t="s">
        <v>113</v>
      </c>
      <c r="L2" s="320"/>
      <c r="M2" s="321"/>
      <c r="N2" s="321"/>
      <c r="O2" s="321"/>
      <c r="P2" s="321"/>
      <c r="Q2" s="321"/>
      <c r="R2" s="322"/>
      <c r="S2" s="323"/>
      <c r="T2" s="324"/>
      <c r="V2" s="324"/>
    </row>
    <row r="3" spans="1:22" ht="13.5">
      <c r="A3" s="318"/>
      <c r="B3" s="319"/>
      <c r="C3" s="319"/>
      <c r="D3" s="319"/>
      <c r="E3" s="319"/>
      <c r="F3" s="315"/>
      <c r="G3" s="315"/>
      <c r="H3" s="326"/>
      <c r="I3" s="326"/>
      <c r="J3" s="327"/>
      <c r="K3" s="318" t="s">
        <v>114</v>
      </c>
      <c r="L3" s="315"/>
      <c r="M3" s="319"/>
      <c r="N3" s="319"/>
      <c r="O3" s="326"/>
      <c r="P3" s="326"/>
      <c r="Q3" s="326"/>
      <c r="R3" s="328"/>
      <c r="S3" s="325"/>
      <c r="V3" s="329"/>
    </row>
    <row r="4" spans="1:22" ht="13.5">
      <c r="A4" s="423" t="s">
        <v>10</v>
      </c>
      <c r="B4" s="424"/>
      <c r="C4" s="424" t="s">
        <v>17</v>
      </c>
      <c r="D4" s="424"/>
      <c r="E4" s="425" t="s">
        <v>18</v>
      </c>
      <c r="F4" s="425"/>
      <c r="G4" s="14" t="s">
        <v>22</v>
      </c>
      <c r="H4" s="29" t="s">
        <v>8</v>
      </c>
      <c r="I4" s="426" t="s">
        <v>249</v>
      </c>
      <c r="J4" s="426" t="s">
        <v>250</v>
      </c>
      <c r="K4" s="467" t="s">
        <v>125</v>
      </c>
      <c r="L4" s="468"/>
      <c r="M4" s="468"/>
      <c r="N4" s="468"/>
      <c r="O4" s="468"/>
      <c r="P4" s="468"/>
      <c r="Q4" s="468"/>
      <c r="R4" s="469"/>
      <c r="V4" s="329"/>
    </row>
    <row r="5" spans="1:22" ht="13.5">
      <c r="A5" s="314"/>
      <c r="B5" s="315"/>
      <c r="C5" s="315" t="s">
        <v>251</v>
      </c>
      <c r="D5" s="315"/>
      <c r="E5" s="319" t="s">
        <v>131</v>
      </c>
      <c r="F5" s="315"/>
      <c r="G5" s="331"/>
      <c r="H5" s="315">
        <v>13</v>
      </c>
      <c r="I5" s="447">
        <v>7</v>
      </c>
      <c r="J5" s="448">
        <f aca="true" t="shared" si="0" ref="J5:J10">+I5/60</f>
        <v>0.11666666666666667</v>
      </c>
      <c r="K5" s="467"/>
      <c r="L5" s="468"/>
      <c r="M5" s="468"/>
      <c r="N5" s="468"/>
      <c r="O5" s="468"/>
      <c r="P5" s="468"/>
      <c r="Q5" s="468"/>
      <c r="R5" s="469"/>
      <c r="S5" s="325"/>
      <c r="V5" s="329"/>
    </row>
    <row r="6" spans="1:22" ht="13.5">
      <c r="A6" s="314"/>
      <c r="B6" s="315"/>
      <c r="C6" s="315" t="s">
        <v>122</v>
      </c>
      <c r="D6" s="315"/>
      <c r="E6" s="319" t="s">
        <v>20</v>
      </c>
      <c r="F6" s="315"/>
      <c r="G6" s="331" t="s">
        <v>252</v>
      </c>
      <c r="H6" s="315">
        <v>13</v>
      </c>
      <c r="I6" s="447">
        <v>7</v>
      </c>
      <c r="J6" s="448">
        <f t="shared" si="0"/>
        <v>0.11666666666666667</v>
      </c>
      <c r="K6" s="318" t="s">
        <v>126</v>
      </c>
      <c r="L6" s="315"/>
      <c r="M6" s="319"/>
      <c r="N6" s="319"/>
      <c r="O6" s="326"/>
      <c r="P6" s="326"/>
      <c r="Q6" s="326"/>
      <c r="R6" s="328"/>
      <c r="V6" s="329"/>
    </row>
    <row r="7" spans="1:22" ht="13.5">
      <c r="A7" s="314"/>
      <c r="B7" s="315"/>
      <c r="C7" s="315" t="s">
        <v>253</v>
      </c>
      <c r="D7" s="315"/>
      <c r="E7" s="319" t="s">
        <v>116</v>
      </c>
      <c r="F7" s="315"/>
      <c r="G7" s="331" t="s">
        <v>254</v>
      </c>
      <c r="H7" s="315">
        <v>13</v>
      </c>
      <c r="I7" s="447">
        <v>7</v>
      </c>
      <c r="J7" s="448">
        <f t="shared" si="0"/>
        <v>0.11666666666666667</v>
      </c>
      <c r="K7" s="467" t="s">
        <v>128</v>
      </c>
      <c r="L7" s="468"/>
      <c r="M7" s="468"/>
      <c r="N7" s="468"/>
      <c r="O7" s="468"/>
      <c r="P7" s="468"/>
      <c r="Q7" s="468"/>
      <c r="R7" s="469"/>
      <c r="S7" s="325"/>
      <c r="V7" s="329"/>
    </row>
    <row r="8" spans="1:18" ht="13.5">
      <c r="A8" s="314"/>
      <c r="B8" s="315"/>
      <c r="C8" s="315" t="s">
        <v>255</v>
      </c>
      <c r="D8" s="315"/>
      <c r="E8" s="319" t="s">
        <v>124</v>
      </c>
      <c r="F8" s="315"/>
      <c r="G8" s="315"/>
      <c r="H8" s="315">
        <v>13</v>
      </c>
      <c r="I8" s="447">
        <v>7</v>
      </c>
      <c r="J8" s="448">
        <f t="shared" si="0"/>
        <v>0.11666666666666667</v>
      </c>
      <c r="K8" s="467"/>
      <c r="L8" s="468"/>
      <c r="M8" s="468"/>
      <c r="N8" s="468"/>
      <c r="O8" s="468"/>
      <c r="P8" s="468"/>
      <c r="Q8" s="468"/>
      <c r="R8" s="469"/>
    </row>
    <row r="9" spans="1:18" ht="13.5">
      <c r="A9" s="314"/>
      <c r="B9" s="315"/>
      <c r="C9" s="315" t="s">
        <v>256</v>
      </c>
      <c r="D9" s="315"/>
      <c r="E9" s="319" t="s">
        <v>115</v>
      </c>
      <c r="F9" s="315"/>
      <c r="G9" s="331"/>
      <c r="H9" s="315">
        <v>13</v>
      </c>
      <c r="I9" s="447">
        <v>7</v>
      </c>
      <c r="J9" s="448">
        <f t="shared" si="0"/>
        <v>0.11666666666666667</v>
      </c>
      <c r="K9" s="314"/>
      <c r="L9" s="315"/>
      <c r="M9" s="319"/>
      <c r="N9" s="319"/>
      <c r="O9" s="326"/>
      <c r="P9" s="326"/>
      <c r="Q9" s="326"/>
      <c r="R9" s="328"/>
    </row>
    <row r="10" spans="1:18" ht="13.5">
      <c r="A10" s="314"/>
      <c r="B10" s="315"/>
      <c r="C10" s="315" t="s">
        <v>257</v>
      </c>
      <c r="D10" s="315"/>
      <c r="E10" s="319" t="s">
        <v>115</v>
      </c>
      <c r="F10" s="315"/>
      <c r="G10" s="331" t="s">
        <v>258</v>
      </c>
      <c r="H10" s="315">
        <v>13</v>
      </c>
      <c r="I10" s="447">
        <v>7</v>
      </c>
      <c r="J10" s="448">
        <f t="shared" si="0"/>
        <v>0.11666666666666667</v>
      </c>
      <c r="K10" s="314" t="s">
        <v>259</v>
      </c>
      <c r="L10" s="334" t="s">
        <v>138</v>
      </c>
      <c r="M10" s="319"/>
      <c r="N10" s="335" t="s">
        <v>260</v>
      </c>
      <c r="O10" s="326" t="e">
        <f>[1]!textcalc(L10)</f>
        <v>#NAME?</v>
      </c>
      <c r="P10" s="336" t="s">
        <v>139</v>
      </c>
      <c r="Q10" s="337" t="e">
        <f>ROUND((O10/60),2)</f>
        <v>#NAME?</v>
      </c>
      <c r="R10" s="338" t="s">
        <v>261</v>
      </c>
    </row>
    <row r="11" spans="1:18" ht="13.5">
      <c r="A11" s="314"/>
      <c r="B11" s="315"/>
      <c r="C11" s="315"/>
      <c r="D11" s="315"/>
      <c r="E11" s="319"/>
      <c r="F11" s="315"/>
      <c r="G11" s="331"/>
      <c r="H11" s="315"/>
      <c r="I11" s="315"/>
      <c r="J11" s="330"/>
      <c r="K11" s="314" t="s">
        <v>262</v>
      </c>
      <c r="L11" s="334" t="s">
        <v>140</v>
      </c>
      <c r="M11" s="326"/>
      <c r="N11" s="335" t="s">
        <v>260</v>
      </c>
      <c r="O11" s="326" t="e">
        <f>[1]!textcalc(L11)</f>
        <v>#NAME?</v>
      </c>
      <c r="P11" s="336" t="s">
        <v>139</v>
      </c>
      <c r="Q11" s="337" t="e">
        <f aca="true" t="shared" si="1" ref="Q11:Q16">ROUND((O11/60),2)</f>
        <v>#NAME?</v>
      </c>
      <c r="R11" s="338" t="s">
        <v>261</v>
      </c>
    </row>
    <row r="12" spans="1:18" ht="13.5">
      <c r="A12" s="314"/>
      <c r="B12" s="315"/>
      <c r="C12" s="315"/>
      <c r="D12" s="315"/>
      <c r="E12" s="319"/>
      <c r="F12" s="315"/>
      <c r="G12" s="331"/>
      <c r="H12" s="326"/>
      <c r="I12" s="326"/>
      <c r="J12" s="327"/>
      <c r="K12" s="314" t="s">
        <v>263</v>
      </c>
      <c r="L12" s="334" t="s">
        <v>141</v>
      </c>
      <c r="M12" s="326"/>
      <c r="N12" s="335" t="s">
        <v>260</v>
      </c>
      <c r="O12" s="326" t="e">
        <f>[1]!textcalc(L12)</f>
        <v>#NAME?</v>
      </c>
      <c r="P12" s="336" t="s">
        <v>139</v>
      </c>
      <c r="Q12" s="337" t="e">
        <f t="shared" si="1"/>
        <v>#NAME?</v>
      </c>
      <c r="R12" s="338" t="s">
        <v>261</v>
      </c>
    </row>
    <row r="13" spans="1:18" ht="13.5">
      <c r="A13" s="314"/>
      <c r="B13" s="315"/>
      <c r="C13" s="319" t="s">
        <v>38</v>
      </c>
      <c r="D13" s="315"/>
      <c r="E13" s="319"/>
      <c r="F13" s="315"/>
      <c r="G13" s="315"/>
      <c r="H13" s="326"/>
      <c r="I13" s="326"/>
      <c r="J13" s="327"/>
      <c r="K13" s="314" t="s">
        <v>264</v>
      </c>
      <c r="L13" s="334" t="s">
        <v>228</v>
      </c>
      <c r="M13" s="326"/>
      <c r="N13" s="335" t="s">
        <v>260</v>
      </c>
      <c r="O13" s="326" t="e">
        <f>[1]!textcalc(L13)</f>
        <v>#NAME?</v>
      </c>
      <c r="P13" s="336" t="s">
        <v>139</v>
      </c>
      <c r="Q13" s="337" t="e">
        <f t="shared" si="1"/>
        <v>#NAME?</v>
      </c>
      <c r="R13" s="338" t="s">
        <v>261</v>
      </c>
    </row>
    <row r="14" spans="1:18" ht="13.5">
      <c r="A14" s="318"/>
      <c r="B14" s="319"/>
      <c r="C14" s="319"/>
      <c r="D14" s="319"/>
      <c r="E14" s="319"/>
      <c r="F14" s="315"/>
      <c r="G14" s="315"/>
      <c r="H14" s="326"/>
      <c r="I14" s="326"/>
      <c r="J14" s="327"/>
      <c r="K14" s="314" t="s">
        <v>265</v>
      </c>
      <c r="L14" s="334" t="s">
        <v>142</v>
      </c>
      <c r="M14" s="326"/>
      <c r="N14" s="335" t="s">
        <v>260</v>
      </c>
      <c r="O14" s="326" t="e">
        <f>[1]!textcalc(L14)</f>
        <v>#NAME?</v>
      </c>
      <c r="P14" s="336" t="s">
        <v>139</v>
      </c>
      <c r="Q14" s="337" t="e">
        <f t="shared" si="1"/>
        <v>#NAME?</v>
      </c>
      <c r="R14" s="338" t="s">
        <v>261</v>
      </c>
    </row>
    <row r="15" spans="1:20" ht="13.5">
      <c r="A15" s="318"/>
      <c r="B15" s="319"/>
      <c r="C15" s="319"/>
      <c r="D15" s="319"/>
      <c r="E15" s="319"/>
      <c r="F15" s="315"/>
      <c r="G15" s="315"/>
      <c r="H15" s="326"/>
      <c r="I15" s="326"/>
      <c r="J15" s="327"/>
      <c r="K15" s="314" t="s">
        <v>266</v>
      </c>
      <c r="L15" s="334" t="s">
        <v>143</v>
      </c>
      <c r="M15" s="326"/>
      <c r="N15" s="335" t="s">
        <v>260</v>
      </c>
      <c r="O15" s="326" t="e">
        <f>[1]!textcalc(L15)</f>
        <v>#NAME?</v>
      </c>
      <c r="P15" s="336" t="s">
        <v>139</v>
      </c>
      <c r="Q15" s="337" t="e">
        <f t="shared" si="1"/>
        <v>#NAME?</v>
      </c>
      <c r="R15" s="338" t="s">
        <v>261</v>
      </c>
      <c r="T15" s="339"/>
    </row>
    <row r="16" spans="1:20" ht="13.5">
      <c r="A16" s="318"/>
      <c r="B16" s="319"/>
      <c r="C16" s="319"/>
      <c r="D16" s="319"/>
      <c r="E16" s="319"/>
      <c r="F16" s="315"/>
      <c r="G16" s="315"/>
      <c r="H16" s="326"/>
      <c r="I16" s="326"/>
      <c r="J16" s="327"/>
      <c r="K16" s="314" t="s">
        <v>267</v>
      </c>
      <c r="L16" s="334" t="s">
        <v>144</v>
      </c>
      <c r="M16" s="326"/>
      <c r="N16" s="335" t="s">
        <v>260</v>
      </c>
      <c r="O16" s="326" t="e">
        <f>[1]!textcalc(L16)</f>
        <v>#NAME?</v>
      </c>
      <c r="P16" s="336" t="s">
        <v>139</v>
      </c>
      <c r="Q16" s="337" t="e">
        <f t="shared" si="1"/>
        <v>#NAME?</v>
      </c>
      <c r="R16" s="338" t="s">
        <v>261</v>
      </c>
      <c r="T16" s="339"/>
    </row>
    <row r="17" spans="1:20" ht="13.5">
      <c r="A17" s="340" t="s">
        <v>34</v>
      </c>
      <c r="B17" s="341"/>
      <c r="C17" s="341"/>
      <c r="D17" s="341"/>
      <c r="E17" s="341"/>
      <c r="F17" s="316"/>
      <c r="G17" s="316"/>
      <c r="H17" s="342"/>
      <c r="I17" s="342"/>
      <c r="J17" s="343"/>
      <c r="K17" s="344"/>
      <c r="L17" s="342"/>
      <c r="M17" s="342"/>
      <c r="N17" s="342"/>
      <c r="O17" s="342"/>
      <c r="P17" s="342"/>
      <c r="Q17" s="342"/>
      <c r="R17" s="345"/>
      <c r="T17" s="339"/>
    </row>
    <row r="18" spans="1:23" s="348" customFormat="1" ht="13.5">
      <c r="A18" s="459" t="s">
        <v>5</v>
      </c>
      <c r="B18" s="460"/>
      <c r="C18" s="460"/>
      <c r="D18" s="460"/>
      <c r="E18" s="461"/>
      <c r="F18" s="428" t="s">
        <v>7</v>
      </c>
      <c r="G18" s="429" t="s">
        <v>9</v>
      </c>
      <c r="H18" s="429" t="s">
        <v>0</v>
      </c>
      <c r="I18" s="429" t="s">
        <v>25</v>
      </c>
      <c r="J18" s="430" t="s">
        <v>26</v>
      </c>
      <c r="K18" s="429" t="s">
        <v>1</v>
      </c>
      <c r="L18" s="429" t="s">
        <v>51</v>
      </c>
      <c r="M18" s="55" t="s">
        <v>2</v>
      </c>
      <c r="N18" s="476" t="s">
        <v>150</v>
      </c>
      <c r="O18" s="477"/>
      <c r="P18" s="161"/>
      <c r="Q18" s="161"/>
      <c r="R18" s="160"/>
      <c r="S18" s="346"/>
      <c r="T18" s="347"/>
      <c r="U18" s="346"/>
      <c r="V18" s="346"/>
      <c r="W18" s="346"/>
    </row>
    <row r="19" spans="1:23" s="348" customFormat="1" ht="13.5">
      <c r="A19" s="462"/>
      <c r="B19" s="463"/>
      <c r="C19" s="463"/>
      <c r="D19" s="463"/>
      <c r="E19" s="464"/>
      <c r="F19" s="431" t="s">
        <v>268</v>
      </c>
      <c r="G19" s="432"/>
      <c r="H19" s="432" t="s">
        <v>28</v>
      </c>
      <c r="I19" s="432" t="s">
        <v>269</v>
      </c>
      <c r="J19" s="433" t="s">
        <v>31</v>
      </c>
      <c r="K19" s="434" t="s">
        <v>269</v>
      </c>
      <c r="L19" s="434" t="s">
        <v>269</v>
      </c>
      <c r="M19" s="434" t="s">
        <v>30</v>
      </c>
      <c r="N19" s="478" t="s">
        <v>270</v>
      </c>
      <c r="O19" s="479"/>
      <c r="P19" s="435"/>
      <c r="Q19" s="435"/>
      <c r="R19" s="436"/>
      <c r="S19" s="346"/>
      <c r="T19" s="349"/>
      <c r="U19" s="346"/>
      <c r="V19" s="346"/>
      <c r="W19" s="346"/>
    </row>
    <row r="20" spans="1:20" ht="13.5">
      <c r="A20" s="314" t="s">
        <v>48</v>
      </c>
      <c r="B20" s="315" t="s">
        <v>47</v>
      </c>
      <c r="C20" s="315" t="s">
        <v>111</v>
      </c>
      <c r="D20" s="315"/>
      <c r="E20" s="350"/>
      <c r="F20" s="351"/>
      <c r="G20" s="352"/>
      <c r="H20" s="353"/>
      <c r="I20" s="354"/>
      <c r="J20" s="355"/>
      <c r="K20" s="356"/>
      <c r="L20" s="357"/>
      <c r="M20" s="358"/>
      <c r="N20" s="359"/>
      <c r="O20" s="360"/>
      <c r="P20" s="361"/>
      <c r="Q20" s="361"/>
      <c r="R20" s="362"/>
      <c r="T20" s="339"/>
    </row>
    <row r="21" spans="1:20" ht="13.5">
      <c r="A21" s="314"/>
      <c r="B21" s="315"/>
      <c r="C21" s="315" t="s">
        <v>134</v>
      </c>
      <c r="D21" s="315"/>
      <c r="E21" s="350"/>
      <c r="F21" s="363">
        <v>50</v>
      </c>
      <c r="G21" s="364"/>
      <c r="H21" s="365">
        <v>3.36</v>
      </c>
      <c r="I21" s="365">
        <v>25.6</v>
      </c>
      <c r="J21" s="366">
        <v>65</v>
      </c>
      <c r="K21" s="367">
        <f>ROUND((I21*J21)/1000,2)</f>
        <v>1.66</v>
      </c>
      <c r="L21" s="367">
        <v>1</v>
      </c>
      <c r="M21" s="368">
        <f aca="true" t="shared" si="2" ref="M21:M35">SUM(K21:L21)</f>
        <v>2.66</v>
      </c>
      <c r="N21" s="369"/>
      <c r="O21" s="370">
        <f>(4/T21)*H21/1000</f>
        <v>1.7112339481240586</v>
      </c>
      <c r="P21" s="371"/>
      <c r="Q21" s="371"/>
      <c r="R21" s="372"/>
      <c r="T21" s="339">
        <f>IF(F21&lt;&gt;"",PI()*(F21/1000)^2,"")</f>
        <v>0.007853981633974483</v>
      </c>
    </row>
    <row r="22" spans="1:20" ht="13.5">
      <c r="A22" s="314"/>
      <c r="B22" s="315"/>
      <c r="C22" s="315" t="s">
        <v>129</v>
      </c>
      <c r="D22" s="315"/>
      <c r="E22" s="350"/>
      <c r="F22" s="363">
        <v>50</v>
      </c>
      <c r="G22" s="364">
        <v>1</v>
      </c>
      <c r="H22" s="365">
        <v>3.36</v>
      </c>
      <c r="I22" s="365">
        <v>0.4</v>
      </c>
      <c r="J22" s="366">
        <v>65</v>
      </c>
      <c r="K22" s="367">
        <f>ROUND((I22*J22)/1000,2)</f>
        <v>0.03</v>
      </c>
      <c r="L22" s="367"/>
      <c r="M22" s="368">
        <f t="shared" si="2"/>
        <v>0.03</v>
      </c>
      <c r="N22" s="369"/>
      <c r="O22" s="370"/>
      <c r="P22" s="371"/>
      <c r="Q22" s="371"/>
      <c r="R22" s="372"/>
      <c r="T22" s="339">
        <f aca="true" t="shared" si="3" ref="T22:T63">IF(F22&lt;&gt;"",PI()*(F22/1000)^2,"")</f>
        <v>0.007853981633974483</v>
      </c>
    </row>
    <row r="23" spans="1:20" ht="13.5">
      <c r="A23" s="314"/>
      <c r="B23" s="315"/>
      <c r="C23" s="315" t="s">
        <v>271</v>
      </c>
      <c r="D23" s="315"/>
      <c r="E23" s="350"/>
      <c r="F23" s="363">
        <v>50</v>
      </c>
      <c r="G23" s="364">
        <v>1</v>
      </c>
      <c r="H23" s="365">
        <v>3.36</v>
      </c>
      <c r="I23" s="365">
        <v>18</v>
      </c>
      <c r="J23" s="366">
        <v>65</v>
      </c>
      <c r="K23" s="367">
        <f>ROUND((I23*J23)/1000,2)</f>
        <v>1.17</v>
      </c>
      <c r="L23" s="367"/>
      <c r="M23" s="368">
        <f t="shared" si="2"/>
        <v>1.17</v>
      </c>
      <c r="N23" s="369"/>
      <c r="O23" s="370"/>
      <c r="P23" s="371"/>
      <c r="Q23" s="371"/>
      <c r="R23" s="372"/>
      <c r="T23" s="339">
        <f t="shared" si="3"/>
        <v>0.007853981633974483</v>
      </c>
    </row>
    <row r="24" spans="1:20" ht="13.5">
      <c r="A24" s="314"/>
      <c r="B24" s="315"/>
      <c r="C24" s="315" t="s">
        <v>130</v>
      </c>
      <c r="D24" s="315"/>
      <c r="E24" s="350"/>
      <c r="F24" s="363">
        <v>50</v>
      </c>
      <c r="G24" s="364">
        <v>1</v>
      </c>
      <c r="H24" s="365">
        <v>3.36</v>
      </c>
      <c r="I24" s="365">
        <v>7</v>
      </c>
      <c r="J24" s="366">
        <v>65</v>
      </c>
      <c r="K24" s="367">
        <f>ROUND((I24*J24)/1000,2)</f>
        <v>0.46</v>
      </c>
      <c r="L24" s="367"/>
      <c r="M24" s="368">
        <f t="shared" si="2"/>
        <v>0.46</v>
      </c>
      <c r="N24" s="369"/>
      <c r="O24" s="370"/>
      <c r="P24" s="371"/>
      <c r="Q24" s="371"/>
      <c r="R24" s="372"/>
      <c r="T24" s="339">
        <f t="shared" si="3"/>
        <v>0.007853981633974483</v>
      </c>
    </row>
    <row r="25" spans="1:20" ht="13.5">
      <c r="A25" s="314"/>
      <c r="B25" s="315"/>
      <c r="C25" s="315" t="s">
        <v>315</v>
      </c>
      <c r="D25" s="315"/>
      <c r="E25" s="350"/>
      <c r="F25" s="363">
        <v>50</v>
      </c>
      <c r="G25" s="364">
        <v>1</v>
      </c>
      <c r="H25" s="365">
        <v>3.36</v>
      </c>
      <c r="I25" s="365">
        <v>5</v>
      </c>
      <c r="J25" s="366">
        <v>65</v>
      </c>
      <c r="K25" s="367">
        <f aca="true" t="shared" si="4" ref="K25:K35">ROUND((I25*J25)/1000,2)</f>
        <v>0.33</v>
      </c>
      <c r="L25" s="367"/>
      <c r="M25" s="368">
        <f t="shared" si="2"/>
        <v>0.33</v>
      </c>
      <c r="N25" s="369"/>
      <c r="O25" s="370"/>
      <c r="P25" s="371"/>
      <c r="Q25" s="371"/>
      <c r="R25" s="372"/>
      <c r="T25" s="339">
        <f t="shared" si="3"/>
        <v>0.007853981633974483</v>
      </c>
    </row>
    <row r="26" spans="1:20" ht="13.5">
      <c r="A26" s="314"/>
      <c r="B26" s="315"/>
      <c r="C26" s="315"/>
      <c r="D26" s="315"/>
      <c r="E26" s="350"/>
      <c r="F26" s="363"/>
      <c r="G26" s="364"/>
      <c r="H26" s="365"/>
      <c r="I26" s="365"/>
      <c r="J26" s="366"/>
      <c r="K26" s="367">
        <f t="shared" si="4"/>
        <v>0</v>
      </c>
      <c r="L26" s="367"/>
      <c r="M26" s="368">
        <f t="shared" si="2"/>
        <v>0</v>
      </c>
      <c r="N26" s="369"/>
      <c r="O26" s="370"/>
      <c r="P26" s="371"/>
      <c r="Q26" s="371"/>
      <c r="R26" s="373"/>
      <c r="T26" s="339">
        <f t="shared" si="3"/>
      </c>
    </row>
    <row r="27" spans="1:20" ht="13.5">
      <c r="A27" s="314" t="s">
        <v>272</v>
      </c>
      <c r="B27" s="315" t="s">
        <v>273</v>
      </c>
      <c r="C27" s="315" t="s">
        <v>274</v>
      </c>
      <c r="D27" s="315"/>
      <c r="E27" s="350"/>
      <c r="F27" s="374"/>
      <c r="G27" s="364"/>
      <c r="H27" s="375"/>
      <c r="I27" s="365"/>
      <c r="J27" s="366"/>
      <c r="K27" s="367">
        <f t="shared" si="4"/>
        <v>0</v>
      </c>
      <c r="L27" s="376"/>
      <c r="M27" s="368">
        <f t="shared" si="2"/>
        <v>0</v>
      </c>
      <c r="N27" s="369"/>
      <c r="O27" s="370"/>
      <c r="P27" s="371"/>
      <c r="Q27" s="371"/>
      <c r="R27" s="373"/>
      <c r="T27" s="339">
        <f t="shared" si="3"/>
      </c>
    </row>
    <row r="28" spans="1:20" ht="13.5">
      <c r="A28" s="314"/>
      <c r="B28" s="315"/>
      <c r="C28" s="315" t="s">
        <v>275</v>
      </c>
      <c r="D28" s="315"/>
      <c r="E28" s="350"/>
      <c r="F28" s="374">
        <v>40</v>
      </c>
      <c r="G28" s="377"/>
      <c r="H28" s="375">
        <v>1.89</v>
      </c>
      <c r="I28" s="365">
        <v>23.5</v>
      </c>
      <c r="J28" s="366">
        <v>67</v>
      </c>
      <c r="K28" s="367">
        <f t="shared" si="4"/>
        <v>1.57</v>
      </c>
      <c r="L28" s="378">
        <v>2.5</v>
      </c>
      <c r="M28" s="368">
        <f t="shared" si="2"/>
        <v>4.07</v>
      </c>
      <c r="N28" s="369"/>
      <c r="O28" s="370">
        <f>(4/T28)*H28/1000</f>
        <v>1.5040142122184108</v>
      </c>
      <c r="P28" s="371"/>
      <c r="Q28" s="371"/>
      <c r="R28" s="372"/>
      <c r="T28" s="339">
        <f t="shared" si="3"/>
        <v>0.005026548245743669</v>
      </c>
    </row>
    <row r="29" spans="1:20" ht="13.5">
      <c r="A29" s="314"/>
      <c r="B29" s="315"/>
      <c r="C29" s="315" t="s">
        <v>276</v>
      </c>
      <c r="D29" s="315"/>
      <c r="E29" s="350"/>
      <c r="F29" s="374" t="s">
        <v>277</v>
      </c>
      <c r="G29" s="377">
        <v>1</v>
      </c>
      <c r="H29" s="375">
        <v>1.89</v>
      </c>
      <c r="I29" s="365">
        <v>1</v>
      </c>
      <c r="J29" s="366">
        <v>67</v>
      </c>
      <c r="K29" s="367">
        <f t="shared" si="4"/>
        <v>0.07</v>
      </c>
      <c r="L29" s="367"/>
      <c r="M29" s="368">
        <f t="shared" si="2"/>
        <v>0.07</v>
      </c>
      <c r="N29" s="369"/>
      <c r="O29" s="370"/>
      <c r="P29" s="371"/>
      <c r="Q29" s="371"/>
      <c r="R29" s="372"/>
      <c r="T29" s="339" t="e">
        <f t="shared" si="3"/>
        <v>#VALUE!</v>
      </c>
    </row>
    <row r="30" spans="1:20" ht="13.5">
      <c r="A30" s="314"/>
      <c r="B30" s="315"/>
      <c r="C30" s="315" t="s">
        <v>278</v>
      </c>
      <c r="D30" s="315"/>
      <c r="E30" s="350"/>
      <c r="F30" s="374">
        <v>40</v>
      </c>
      <c r="G30" s="364">
        <v>3</v>
      </c>
      <c r="H30" s="375">
        <v>1.89</v>
      </c>
      <c r="I30" s="365">
        <v>3</v>
      </c>
      <c r="J30" s="366">
        <v>67</v>
      </c>
      <c r="K30" s="367">
        <f t="shared" si="4"/>
        <v>0.2</v>
      </c>
      <c r="L30" s="367"/>
      <c r="M30" s="368">
        <f t="shared" si="2"/>
        <v>0.2</v>
      </c>
      <c r="N30" s="369"/>
      <c r="O30" s="370"/>
      <c r="P30" s="371"/>
      <c r="Q30" s="371"/>
      <c r="R30" s="372"/>
      <c r="T30" s="339">
        <f t="shared" si="3"/>
        <v>0.005026548245743669</v>
      </c>
    </row>
    <row r="31" spans="1:20" ht="13.5">
      <c r="A31" s="314"/>
      <c r="B31" s="315"/>
      <c r="C31" s="315" t="s">
        <v>118</v>
      </c>
      <c r="D31" s="315"/>
      <c r="E31" s="350"/>
      <c r="F31" s="374">
        <v>40</v>
      </c>
      <c r="G31" s="364">
        <v>1</v>
      </c>
      <c r="H31" s="375">
        <v>1.89</v>
      </c>
      <c r="I31" s="365">
        <v>0.4</v>
      </c>
      <c r="J31" s="366">
        <v>67</v>
      </c>
      <c r="K31" s="367">
        <f t="shared" si="4"/>
        <v>0.03</v>
      </c>
      <c r="L31" s="367"/>
      <c r="M31" s="368">
        <f t="shared" si="2"/>
        <v>0.03</v>
      </c>
      <c r="N31" s="369"/>
      <c r="O31" s="370"/>
      <c r="P31" s="371"/>
      <c r="Q31" s="371"/>
      <c r="R31" s="372"/>
      <c r="T31" s="339">
        <f t="shared" si="3"/>
        <v>0.005026548245743669</v>
      </c>
    </row>
    <row r="32" spans="1:20" ht="13.5">
      <c r="A32" s="314"/>
      <c r="B32" s="315"/>
      <c r="C32" s="315"/>
      <c r="D32" s="315"/>
      <c r="E32" s="350"/>
      <c r="F32" s="363"/>
      <c r="G32" s="364"/>
      <c r="H32" s="365"/>
      <c r="I32" s="365"/>
      <c r="J32" s="366"/>
      <c r="K32" s="367">
        <f t="shared" si="4"/>
        <v>0</v>
      </c>
      <c r="L32" s="367"/>
      <c r="M32" s="368">
        <f t="shared" si="2"/>
        <v>0</v>
      </c>
      <c r="N32" s="369"/>
      <c r="O32" s="370"/>
      <c r="P32" s="371"/>
      <c r="Q32" s="371"/>
      <c r="R32" s="372"/>
      <c r="T32" s="339">
        <f t="shared" si="3"/>
      </c>
    </row>
    <row r="33" spans="1:20" ht="13.5">
      <c r="A33" s="314" t="s">
        <v>279</v>
      </c>
      <c r="B33" s="315" t="s">
        <v>280</v>
      </c>
      <c r="C33" s="315" t="s">
        <v>281</v>
      </c>
      <c r="D33" s="315"/>
      <c r="E33" s="350"/>
      <c r="F33" s="363"/>
      <c r="G33" s="364"/>
      <c r="H33" s="365"/>
      <c r="I33" s="365"/>
      <c r="J33" s="366"/>
      <c r="K33" s="367">
        <f t="shared" si="4"/>
        <v>0</v>
      </c>
      <c r="L33" s="367"/>
      <c r="M33" s="368">
        <f t="shared" si="2"/>
        <v>0</v>
      </c>
      <c r="N33" s="369"/>
      <c r="O33" s="370"/>
      <c r="P33" s="371"/>
      <c r="Q33" s="371"/>
      <c r="R33" s="379"/>
      <c r="T33" s="339">
        <f t="shared" si="3"/>
      </c>
    </row>
    <row r="34" spans="1:20" ht="13.5">
      <c r="A34" s="314"/>
      <c r="B34" s="315"/>
      <c r="C34" s="315" t="s">
        <v>282</v>
      </c>
      <c r="D34" s="315"/>
      <c r="E34" s="350"/>
      <c r="F34" s="374">
        <v>40</v>
      </c>
      <c r="G34" s="364"/>
      <c r="H34" s="365">
        <v>1.26</v>
      </c>
      <c r="I34" s="375">
        <v>2.6</v>
      </c>
      <c r="J34" s="380">
        <v>33</v>
      </c>
      <c r="K34" s="367">
        <f t="shared" si="4"/>
        <v>0.09</v>
      </c>
      <c r="L34" s="376">
        <v>2.6</v>
      </c>
      <c r="M34" s="368">
        <f t="shared" si="2"/>
        <v>2.69</v>
      </c>
      <c r="N34" s="381"/>
      <c r="O34" s="370">
        <f>(4/T34)*H34/1000</f>
        <v>1.0026761414789407</v>
      </c>
      <c r="P34" s="382"/>
      <c r="Q34" s="382"/>
      <c r="R34" s="383"/>
      <c r="T34" s="339">
        <f t="shared" si="3"/>
        <v>0.005026548245743669</v>
      </c>
    </row>
    <row r="35" spans="1:20" ht="13.5">
      <c r="A35" s="314"/>
      <c r="B35" s="315"/>
      <c r="C35" s="315" t="s">
        <v>283</v>
      </c>
      <c r="D35" s="315"/>
      <c r="E35" s="350"/>
      <c r="F35" s="374">
        <v>40</v>
      </c>
      <c r="G35" s="364">
        <v>1</v>
      </c>
      <c r="H35" s="365">
        <v>1.26</v>
      </c>
      <c r="I35" s="375">
        <v>1</v>
      </c>
      <c r="J35" s="380">
        <v>33</v>
      </c>
      <c r="K35" s="367">
        <f t="shared" si="4"/>
        <v>0.03</v>
      </c>
      <c r="L35" s="376"/>
      <c r="M35" s="368">
        <f t="shared" si="2"/>
        <v>0.03</v>
      </c>
      <c r="N35" s="381"/>
      <c r="O35" s="384"/>
      <c r="P35" s="382"/>
      <c r="Q35" s="382"/>
      <c r="R35" s="383"/>
      <c r="T35" s="339">
        <f t="shared" si="3"/>
        <v>0.005026548245743669</v>
      </c>
    </row>
    <row r="36" spans="1:20" ht="13.5">
      <c r="A36" s="314"/>
      <c r="B36" s="315"/>
      <c r="C36" s="315"/>
      <c r="D36" s="315"/>
      <c r="E36" s="350"/>
      <c r="F36" s="374"/>
      <c r="G36" s="364"/>
      <c r="H36" s="365"/>
      <c r="I36" s="375"/>
      <c r="J36" s="380"/>
      <c r="K36" s="367"/>
      <c r="L36" s="376"/>
      <c r="M36" s="368"/>
      <c r="N36" s="381"/>
      <c r="O36" s="384"/>
      <c r="P36" s="382"/>
      <c r="Q36" s="382"/>
      <c r="R36" s="383"/>
      <c r="T36" s="339">
        <f t="shared" si="3"/>
      </c>
    </row>
    <row r="37" spans="1:20" ht="13.5">
      <c r="A37" s="314" t="s">
        <v>281</v>
      </c>
      <c r="B37" s="315" t="s">
        <v>280</v>
      </c>
      <c r="C37" s="315" t="s">
        <v>284</v>
      </c>
      <c r="D37" s="315"/>
      <c r="E37" s="350"/>
      <c r="F37" s="374"/>
      <c r="G37" s="364"/>
      <c r="H37" s="365"/>
      <c r="I37" s="375"/>
      <c r="J37" s="380"/>
      <c r="K37" s="367"/>
      <c r="L37" s="376"/>
      <c r="M37" s="368"/>
      <c r="N37" s="381"/>
      <c r="O37" s="384"/>
      <c r="P37" s="382"/>
      <c r="Q37" s="382"/>
      <c r="R37" s="383"/>
      <c r="T37" s="339">
        <f t="shared" si="3"/>
      </c>
    </row>
    <row r="38" spans="1:20" ht="13.5">
      <c r="A38" s="314"/>
      <c r="B38" s="315"/>
      <c r="C38" s="315" t="s">
        <v>282</v>
      </c>
      <c r="D38" s="315"/>
      <c r="E38" s="350"/>
      <c r="F38" s="374">
        <v>25</v>
      </c>
      <c r="G38" s="364"/>
      <c r="H38" s="365">
        <v>0.63</v>
      </c>
      <c r="I38" s="375">
        <v>3.6</v>
      </c>
      <c r="J38" s="380">
        <v>87</v>
      </c>
      <c r="K38" s="367">
        <f>ROUND((I38*J38)/1000,2)</f>
        <v>0.31</v>
      </c>
      <c r="L38" s="376">
        <v>2.6</v>
      </c>
      <c r="M38" s="368">
        <f>SUM(K38:L38)</f>
        <v>2.91</v>
      </c>
      <c r="N38" s="381"/>
      <c r="O38" s="370">
        <f>(4/T38)*H38/1000</f>
        <v>1.283425461093044</v>
      </c>
      <c r="P38" s="382"/>
      <c r="Q38" s="382"/>
      <c r="R38" s="383"/>
      <c r="T38" s="339">
        <f t="shared" si="3"/>
        <v>0.001963495408493621</v>
      </c>
    </row>
    <row r="39" spans="1:20" ht="13.5">
      <c r="A39" s="314"/>
      <c r="B39" s="315"/>
      <c r="C39" s="315" t="s">
        <v>285</v>
      </c>
      <c r="D39" s="315"/>
      <c r="E39" s="350"/>
      <c r="F39" s="374">
        <v>25</v>
      </c>
      <c r="G39" s="364">
        <v>1</v>
      </c>
      <c r="H39" s="365">
        <v>0.63</v>
      </c>
      <c r="I39" s="375">
        <v>1</v>
      </c>
      <c r="J39" s="380">
        <v>87</v>
      </c>
      <c r="K39" s="367">
        <f>ROUND((I39*J39)/1000,2)</f>
        <v>0.09</v>
      </c>
      <c r="L39" s="376"/>
      <c r="M39" s="368">
        <f>SUM(K39:L39)</f>
        <v>0.09</v>
      </c>
      <c r="N39" s="381"/>
      <c r="O39" s="384"/>
      <c r="P39" s="382"/>
      <c r="Q39" s="382"/>
      <c r="R39" s="383"/>
      <c r="T39" s="339">
        <f t="shared" si="3"/>
        <v>0.001963495408493621</v>
      </c>
    </row>
    <row r="40" spans="1:20" ht="13.5">
      <c r="A40" s="314"/>
      <c r="B40" s="315"/>
      <c r="C40" s="315" t="s">
        <v>283</v>
      </c>
      <c r="D40" s="315"/>
      <c r="E40" s="350"/>
      <c r="F40" s="363">
        <v>25</v>
      </c>
      <c r="G40" s="364">
        <v>1</v>
      </c>
      <c r="H40" s="365">
        <v>0.63</v>
      </c>
      <c r="I40" s="365">
        <v>1</v>
      </c>
      <c r="J40" s="380">
        <v>87</v>
      </c>
      <c r="K40" s="367">
        <f>ROUND((I40*J40)/1000,2)</f>
        <v>0.09</v>
      </c>
      <c r="L40" s="367"/>
      <c r="M40" s="368">
        <f>SUM(K40:L40)</f>
        <v>0.09</v>
      </c>
      <c r="N40" s="369"/>
      <c r="O40" s="370"/>
      <c r="P40" s="385"/>
      <c r="Q40" s="371"/>
      <c r="R40" s="372"/>
      <c r="T40" s="339">
        <f t="shared" si="3"/>
        <v>0.001963495408493621</v>
      </c>
    </row>
    <row r="41" spans="1:20" ht="13.5">
      <c r="A41" s="314"/>
      <c r="B41" s="315"/>
      <c r="C41" s="315"/>
      <c r="D41" s="315"/>
      <c r="E41" s="350"/>
      <c r="F41" s="363"/>
      <c r="G41" s="364"/>
      <c r="H41" s="365"/>
      <c r="I41" s="365"/>
      <c r="J41" s="366"/>
      <c r="K41" s="367"/>
      <c r="L41" s="367"/>
      <c r="M41" s="368"/>
      <c r="N41" s="369"/>
      <c r="O41" s="370"/>
      <c r="P41" s="371"/>
      <c r="Q41" s="371"/>
      <c r="R41" s="372"/>
      <c r="T41" s="339">
        <f t="shared" si="3"/>
      </c>
    </row>
    <row r="42" spans="1:20" ht="13.5">
      <c r="A42" s="314" t="s">
        <v>284</v>
      </c>
      <c r="B42" s="315" t="s">
        <v>280</v>
      </c>
      <c r="C42" s="315" t="s">
        <v>286</v>
      </c>
      <c r="D42" s="315"/>
      <c r="E42" s="350"/>
      <c r="F42" s="363"/>
      <c r="G42" s="364"/>
      <c r="H42" s="365"/>
      <c r="I42" s="365"/>
      <c r="J42" s="366"/>
      <c r="K42" s="367"/>
      <c r="L42" s="367"/>
      <c r="M42" s="368"/>
      <c r="N42" s="369"/>
      <c r="O42" s="370"/>
      <c r="P42" s="371"/>
      <c r="Q42" s="371"/>
      <c r="R42" s="372"/>
      <c r="T42" s="339">
        <f t="shared" si="3"/>
      </c>
    </row>
    <row r="43" spans="1:20" ht="13.5">
      <c r="A43" s="314"/>
      <c r="B43" s="315"/>
      <c r="C43" s="315" t="s">
        <v>282</v>
      </c>
      <c r="D43" s="315"/>
      <c r="E43" s="350"/>
      <c r="F43" s="386">
        <v>20</v>
      </c>
      <c r="G43" s="387"/>
      <c r="H43" s="388">
        <v>0.35</v>
      </c>
      <c r="I43" s="365">
        <v>4.5</v>
      </c>
      <c r="J43" s="389">
        <v>86</v>
      </c>
      <c r="K43" s="367">
        <f aca="true" t="shared" si="5" ref="K43:K48">ROUND((I43*J43)/1000,2)</f>
        <v>0.39</v>
      </c>
      <c r="L43" s="390">
        <v>-0.9</v>
      </c>
      <c r="M43" s="368">
        <f aca="true" t="shared" si="6" ref="M43:M48">SUM(K43:L43)</f>
        <v>-0.51</v>
      </c>
      <c r="N43" s="391"/>
      <c r="O43" s="370">
        <f>(4/T43)*H43/1000</f>
        <v>1.1140846016432675</v>
      </c>
      <c r="P43" s="371"/>
      <c r="Q43" s="371"/>
      <c r="R43" s="372"/>
      <c r="T43" s="339">
        <f t="shared" si="3"/>
        <v>0.0012566370614359172</v>
      </c>
    </row>
    <row r="44" spans="1:20" ht="13.5">
      <c r="A44" s="314"/>
      <c r="B44" s="315"/>
      <c r="C44" s="315" t="s">
        <v>285</v>
      </c>
      <c r="D44" s="315"/>
      <c r="E44" s="350"/>
      <c r="F44" s="386" t="s">
        <v>287</v>
      </c>
      <c r="G44" s="387">
        <v>1</v>
      </c>
      <c r="H44" s="388">
        <v>0.35</v>
      </c>
      <c r="I44" s="365">
        <v>0.5</v>
      </c>
      <c r="J44" s="389">
        <v>86</v>
      </c>
      <c r="K44" s="367">
        <f t="shared" si="5"/>
        <v>0.04</v>
      </c>
      <c r="L44" s="390"/>
      <c r="M44" s="368">
        <f t="shared" si="6"/>
        <v>0.04</v>
      </c>
      <c r="N44" s="369"/>
      <c r="O44" s="370"/>
      <c r="P44" s="371"/>
      <c r="Q44" s="371"/>
      <c r="R44" s="372"/>
      <c r="T44" s="339" t="e">
        <f t="shared" si="3"/>
        <v>#VALUE!</v>
      </c>
    </row>
    <row r="45" spans="1:20" ht="13.5">
      <c r="A45" s="314"/>
      <c r="B45" s="315"/>
      <c r="C45" s="315" t="s">
        <v>65</v>
      </c>
      <c r="D45" s="315"/>
      <c r="E45" s="350"/>
      <c r="F45" s="386">
        <v>20</v>
      </c>
      <c r="G45" s="387">
        <v>1</v>
      </c>
      <c r="H45" s="388">
        <v>0.35</v>
      </c>
      <c r="I45" s="388">
        <v>0.5</v>
      </c>
      <c r="J45" s="389">
        <v>86</v>
      </c>
      <c r="K45" s="367">
        <f t="shared" si="5"/>
        <v>0.04</v>
      </c>
      <c r="L45" s="390"/>
      <c r="M45" s="368">
        <f t="shared" si="6"/>
        <v>0.04</v>
      </c>
      <c r="N45" s="369"/>
      <c r="O45" s="370"/>
      <c r="P45" s="371"/>
      <c r="Q45" s="371"/>
      <c r="R45" s="372"/>
      <c r="T45" s="339">
        <f t="shared" si="3"/>
        <v>0.0012566370614359172</v>
      </c>
    </row>
    <row r="46" spans="1:20" ht="13.5">
      <c r="A46" s="314"/>
      <c r="B46" s="315"/>
      <c r="C46" s="315" t="s">
        <v>147</v>
      </c>
      <c r="D46" s="315"/>
      <c r="E46" s="350"/>
      <c r="F46" s="386">
        <v>20</v>
      </c>
      <c r="G46" s="387">
        <v>1</v>
      </c>
      <c r="H46" s="388">
        <v>0.35</v>
      </c>
      <c r="I46" s="388">
        <v>8.5</v>
      </c>
      <c r="J46" s="389">
        <v>86</v>
      </c>
      <c r="K46" s="367">
        <f t="shared" si="5"/>
        <v>0.73</v>
      </c>
      <c r="L46" s="390"/>
      <c r="M46" s="368">
        <f t="shared" si="6"/>
        <v>0.73</v>
      </c>
      <c r="N46" s="391"/>
      <c r="O46" s="370"/>
      <c r="P46" s="371"/>
      <c r="Q46" s="371"/>
      <c r="R46" s="372"/>
      <c r="T46" s="339">
        <f t="shared" si="3"/>
        <v>0.0012566370614359172</v>
      </c>
    </row>
    <row r="47" spans="1:20" ht="13.5">
      <c r="A47" s="314"/>
      <c r="B47" s="315"/>
      <c r="C47" s="315" t="s">
        <v>288</v>
      </c>
      <c r="D47" s="315"/>
      <c r="E47" s="350"/>
      <c r="F47" s="386">
        <v>20</v>
      </c>
      <c r="G47" s="387">
        <v>1</v>
      </c>
      <c r="H47" s="388">
        <v>0.35</v>
      </c>
      <c r="I47" s="388">
        <v>8</v>
      </c>
      <c r="J47" s="389">
        <v>86</v>
      </c>
      <c r="K47" s="367">
        <f t="shared" si="5"/>
        <v>0.69</v>
      </c>
      <c r="L47" s="390"/>
      <c r="M47" s="368">
        <f t="shared" si="6"/>
        <v>0.69</v>
      </c>
      <c r="N47" s="391"/>
      <c r="O47" s="370"/>
      <c r="P47" s="371"/>
      <c r="Q47" s="371"/>
      <c r="R47" s="392"/>
      <c r="T47" s="339">
        <f t="shared" si="3"/>
        <v>0.0012566370614359172</v>
      </c>
    </row>
    <row r="48" spans="1:20" ht="13.5">
      <c r="A48" s="314"/>
      <c r="B48" s="315"/>
      <c r="C48" s="315" t="s">
        <v>289</v>
      </c>
      <c r="D48" s="315"/>
      <c r="E48" s="350"/>
      <c r="F48" s="386">
        <v>20</v>
      </c>
      <c r="G48" s="387">
        <v>8</v>
      </c>
      <c r="H48" s="388">
        <v>0.35</v>
      </c>
      <c r="I48" s="388">
        <v>4</v>
      </c>
      <c r="J48" s="389">
        <v>86</v>
      </c>
      <c r="K48" s="367">
        <f t="shared" si="5"/>
        <v>0.34</v>
      </c>
      <c r="L48" s="390"/>
      <c r="M48" s="368">
        <f t="shared" si="6"/>
        <v>0.34</v>
      </c>
      <c r="N48" s="391"/>
      <c r="O48" s="370"/>
      <c r="P48" s="371"/>
      <c r="Q48" s="371"/>
      <c r="R48" s="393"/>
      <c r="T48" s="339">
        <f t="shared" si="3"/>
        <v>0.0012566370614359172</v>
      </c>
    </row>
    <row r="49" spans="1:20" ht="13.5">
      <c r="A49" s="314"/>
      <c r="B49" s="315"/>
      <c r="C49" s="315"/>
      <c r="D49" s="315"/>
      <c r="E49" s="350"/>
      <c r="F49" s="386"/>
      <c r="G49" s="387"/>
      <c r="H49" s="388"/>
      <c r="I49" s="388"/>
      <c r="J49" s="389"/>
      <c r="K49" s="394"/>
      <c r="L49" s="390"/>
      <c r="M49" s="395"/>
      <c r="N49" s="396"/>
      <c r="O49" s="370"/>
      <c r="P49" s="371"/>
      <c r="Q49" s="371"/>
      <c r="R49" s="372"/>
      <c r="T49" s="339">
        <f t="shared" si="3"/>
      </c>
    </row>
    <row r="50" spans="1:20" ht="13.5">
      <c r="A50" s="314" t="s">
        <v>290</v>
      </c>
      <c r="B50" s="315" t="s">
        <v>291</v>
      </c>
      <c r="C50" s="315" t="s">
        <v>292</v>
      </c>
      <c r="D50" s="315"/>
      <c r="E50" s="350"/>
      <c r="F50" s="386"/>
      <c r="G50" s="387"/>
      <c r="H50" s="388"/>
      <c r="I50" s="388"/>
      <c r="J50" s="389"/>
      <c r="K50" s="394"/>
      <c r="L50" s="390"/>
      <c r="M50" s="395"/>
      <c r="N50" s="396"/>
      <c r="O50" s="370"/>
      <c r="P50" s="371"/>
      <c r="Q50" s="371"/>
      <c r="R50" s="372"/>
      <c r="T50" s="339">
        <f t="shared" si="3"/>
      </c>
    </row>
    <row r="51" spans="1:20" ht="13.5">
      <c r="A51" s="314"/>
      <c r="B51" s="315"/>
      <c r="C51" s="315" t="s">
        <v>293</v>
      </c>
      <c r="D51" s="315"/>
      <c r="E51" s="350"/>
      <c r="F51" s="386">
        <v>20</v>
      </c>
      <c r="G51" s="387"/>
      <c r="H51" s="388">
        <v>0.23</v>
      </c>
      <c r="I51" s="388">
        <v>2.1</v>
      </c>
      <c r="J51" s="389">
        <v>43</v>
      </c>
      <c r="K51" s="367">
        <f>ROUND((I51*J51)/1000,2)</f>
        <v>0.09</v>
      </c>
      <c r="L51" s="390"/>
      <c r="M51" s="368">
        <f>SUM(K51:L51)</f>
        <v>0.09</v>
      </c>
      <c r="N51" s="396"/>
      <c r="O51" s="370">
        <f>(4/T51)*H51/1000</f>
        <v>0.7321127382227186</v>
      </c>
      <c r="P51" s="371"/>
      <c r="Q51" s="371"/>
      <c r="R51" s="372"/>
      <c r="T51" s="339">
        <f t="shared" si="3"/>
        <v>0.0012566370614359172</v>
      </c>
    </row>
    <row r="52" spans="1:20" ht="13.5">
      <c r="A52" s="314"/>
      <c r="B52" s="315"/>
      <c r="C52" s="315" t="s">
        <v>294</v>
      </c>
      <c r="D52" s="315"/>
      <c r="E52" s="350"/>
      <c r="F52" s="363">
        <v>20</v>
      </c>
      <c r="G52" s="364">
        <v>1</v>
      </c>
      <c r="H52" s="365">
        <v>0.23</v>
      </c>
      <c r="I52" s="365">
        <v>0.5</v>
      </c>
      <c r="J52" s="366">
        <v>43</v>
      </c>
      <c r="K52" s="367">
        <f>ROUND((I52*J52)/1000,2)</f>
        <v>0.02</v>
      </c>
      <c r="L52" s="367"/>
      <c r="M52" s="368">
        <f>SUM(K52:L52)</f>
        <v>0.02</v>
      </c>
      <c r="N52" s="369"/>
      <c r="O52" s="370"/>
      <c r="P52" s="371"/>
      <c r="Q52" s="371"/>
      <c r="R52" s="372"/>
      <c r="T52" s="339">
        <f t="shared" si="3"/>
        <v>0.0012566370614359172</v>
      </c>
    </row>
    <row r="53" spans="1:20" ht="13.5">
      <c r="A53" s="314"/>
      <c r="B53" s="315"/>
      <c r="C53" s="335"/>
      <c r="D53" s="315"/>
      <c r="E53" s="350"/>
      <c r="F53" s="363"/>
      <c r="G53" s="364"/>
      <c r="H53" s="365"/>
      <c r="I53" s="375"/>
      <c r="J53" s="366"/>
      <c r="K53" s="367"/>
      <c r="L53" s="367"/>
      <c r="M53" s="368"/>
      <c r="N53" s="369"/>
      <c r="O53" s="370"/>
      <c r="P53" s="371"/>
      <c r="Q53" s="371"/>
      <c r="R53" s="372"/>
      <c r="T53" s="339">
        <f t="shared" si="3"/>
      </c>
    </row>
    <row r="54" spans="1:20" ht="13.5">
      <c r="A54" s="314" t="s">
        <v>292</v>
      </c>
      <c r="B54" s="315" t="s">
        <v>291</v>
      </c>
      <c r="C54" s="315" t="s">
        <v>295</v>
      </c>
      <c r="D54" s="315"/>
      <c r="E54" s="350"/>
      <c r="F54" s="363"/>
      <c r="G54" s="364"/>
      <c r="H54" s="365"/>
      <c r="I54" s="375"/>
      <c r="J54" s="366"/>
      <c r="K54" s="367"/>
      <c r="L54" s="367"/>
      <c r="M54" s="368"/>
      <c r="N54" s="369"/>
      <c r="O54" s="370"/>
      <c r="P54" s="371"/>
      <c r="Q54" s="371"/>
      <c r="R54" s="379"/>
      <c r="T54" s="339">
        <f t="shared" si="3"/>
      </c>
    </row>
    <row r="55" spans="1:20" ht="13.5">
      <c r="A55" s="314"/>
      <c r="B55" s="315"/>
      <c r="C55" s="315" t="s">
        <v>293</v>
      </c>
      <c r="D55" s="315"/>
      <c r="E55" s="350"/>
      <c r="F55" s="363">
        <v>20</v>
      </c>
      <c r="G55" s="364"/>
      <c r="H55" s="365">
        <v>0.12</v>
      </c>
      <c r="I55" s="375">
        <v>4.5</v>
      </c>
      <c r="J55" s="366">
        <v>13</v>
      </c>
      <c r="K55" s="367">
        <f>ROUND((I55*J55)/1000,2)</f>
        <v>0.06</v>
      </c>
      <c r="L55" s="367">
        <v>1.4</v>
      </c>
      <c r="M55" s="368">
        <f>SUM(K55:L55)</f>
        <v>1.46</v>
      </c>
      <c r="N55" s="369"/>
      <c r="O55" s="370">
        <f>(4/T55)*H55/1000</f>
        <v>0.3819718634205488</v>
      </c>
      <c r="P55" s="371"/>
      <c r="Q55" s="371"/>
      <c r="R55" s="379"/>
      <c r="T55" s="339">
        <f t="shared" si="3"/>
        <v>0.0012566370614359172</v>
      </c>
    </row>
    <row r="56" spans="1:20" ht="13.5">
      <c r="A56" s="314"/>
      <c r="B56" s="315"/>
      <c r="C56" s="315" t="s">
        <v>296</v>
      </c>
      <c r="D56" s="315"/>
      <c r="E56" s="350"/>
      <c r="F56" s="363" t="s">
        <v>297</v>
      </c>
      <c r="G56" s="364">
        <v>1</v>
      </c>
      <c r="H56" s="365">
        <v>0.12</v>
      </c>
      <c r="I56" s="375">
        <v>0.5</v>
      </c>
      <c r="J56" s="366">
        <v>13</v>
      </c>
      <c r="K56" s="367">
        <f>ROUND((I56*J56)/1000,2)</f>
        <v>0.01</v>
      </c>
      <c r="L56" s="367"/>
      <c r="M56" s="368">
        <f>SUM(K56:L56)</f>
        <v>0.01</v>
      </c>
      <c r="N56" s="369"/>
      <c r="O56" s="370"/>
      <c r="P56" s="371"/>
      <c r="Q56" s="371"/>
      <c r="R56" s="379"/>
      <c r="T56" s="339" t="e">
        <f t="shared" si="3"/>
        <v>#VALUE!</v>
      </c>
    </row>
    <row r="57" spans="1:20" ht="13.5">
      <c r="A57" s="314"/>
      <c r="B57" s="315"/>
      <c r="C57" s="315" t="s">
        <v>289</v>
      </c>
      <c r="D57" s="315"/>
      <c r="E57" s="350"/>
      <c r="F57" s="363">
        <v>20</v>
      </c>
      <c r="G57" s="364">
        <v>6</v>
      </c>
      <c r="H57" s="365">
        <v>0.12</v>
      </c>
      <c r="I57" s="375">
        <v>3</v>
      </c>
      <c r="J57" s="366">
        <v>13</v>
      </c>
      <c r="K57" s="367">
        <f>ROUND((I57*J57)/1000,2)</f>
        <v>0.04</v>
      </c>
      <c r="L57" s="367"/>
      <c r="M57" s="368">
        <f>SUM(K57:L57)</f>
        <v>0.04</v>
      </c>
      <c r="N57" s="369"/>
      <c r="O57" s="370"/>
      <c r="P57" s="371"/>
      <c r="Q57" s="371"/>
      <c r="R57" s="379"/>
      <c r="T57" s="339">
        <f t="shared" si="3"/>
        <v>0.0012566370614359172</v>
      </c>
    </row>
    <row r="58" spans="1:20" ht="13.5">
      <c r="A58" s="314"/>
      <c r="B58" s="315"/>
      <c r="C58" s="315" t="s">
        <v>148</v>
      </c>
      <c r="D58" s="315"/>
      <c r="E58" s="350"/>
      <c r="F58" s="363">
        <v>13</v>
      </c>
      <c r="G58" s="364">
        <v>1</v>
      </c>
      <c r="H58" s="365">
        <v>0.12</v>
      </c>
      <c r="I58" s="397">
        <v>3</v>
      </c>
      <c r="J58" s="366">
        <v>13</v>
      </c>
      <c r="K58" s="367">
        <f>ROUND((I58*J58)/1000,2)</f>
        <v>0.04</v>
      </c>
      <c r="L58" s="367"/>
      <c r="M58" s="368">
        <f>SUM(K58:L58)</f>
        <v>0.04</v>
      </c>
      <c r="N58" s="369"/>
      <c r="O58" s="370"/>
      <c r="P58" s="371"/>
      <c r="Q58" s="371"/>
      <c r="R58" s="379"/>
      <c r="T58" s="339">
        <f t="shared" si="3"/>
        <v>0.0005309291584566749</v>
      </c>
    </row>
    <row r="59" spans="1:20" ht="13.5">
      <c r="A59" s="314"/>
      <c r="B59" s="315"/>
      <c r="C59" s="315"/>
      <c r="D59" s="315"/>
      <c r="E59" s="350"/>
      <c r="F59" s="363"/>
      <c r="G59" s="364"/>
      <c r="H59" s="365"/>
      <c r="I59" s="397"/>
      <c r="J59" s="366"/>
      <c r="K59" s="367"/>
      <c r="L59" s="367"/>
      <c r="M59" s="368"/>
      <c r="N59" s="369"/>
      <c r="O59" s="370"/>
      <c r="P59" s="371"/>
      <c r="Q59" s="371"/>
      <c r="R59" s="379"/>
      <c r="T59" s="339">
        <f t="shared" si="3"/>
      </c>
    </row>
    <row r="60" spans="1:20" ht="13.5">
      <c r="A60" s="314"/>
      <c r="B60" s="315"/>
      <c r="C60" s="315"/>
      <c r="D60" s="315"/>
      <c r="E60" s="350"/>
      <c r="F60" s="363"/>
      <c r="G60" s="364"/>
      <c r="H60" s="365"/>
      <c r="I60" s="397"/>
      <c r="J60" s="366"/>
      <c r="K60" s="367"/>
      <c r="L60" s="367"/>
      <c r="M60" s="368"/>
      <c r="N60" s="369"/>
      <c r="O60" s="370"/>
      <c r="P60" s="371"/>
      <c r="Q60" s="371"/>
      <c r="R60" s="379"/>
      <c r="T60" s="339">
        <f t="shared" si="3"/>
      </c>
    </row>
    <row r="61" spans="1:20" ht="13.5">
      <c r="A61" s="318"/>
      <c r="B61" s="319"/>
      <c r="C61" s="315" t="s">
        <v>119</v>
      </c>
      <c r="D61" s="315"/>
      <c r="E61" s="350"/>
      <c r="F61" s="363"/>
      <c r="G61" s="364"/>
      <c r="H61" s="397"/>
      <c r="I61" s="397">
        <f>SUM(I21:I60)</f>
        <v>132.7</v>
      </c>
      <c r="J61" s="366"/>
      <c r="K61" s="367"/>
      <c r="L61" s="367">
        <f>SUM(L20:L60)</f>
        <v>9.2</v>
      </c>
      <c r="M61" s="367">
        <f>SUM(M20:M60)</f>
        <v>17.819999999999997</v>
      </c>
      <c r="N61" s="398"/>
      <c r="O61" s="370"/>
      <c r="P61" s="371"/>
      <c r="Q61" s="371"/>
      <c r="R61" s="379"/>
      <c r="T61" s="339">
        <f t="shared" si="3"/>
      </c>
    </row>
    <row r="62" spans="1:20" ht="13.5">
      <c r="A62" s="318"/>
      <c r="B62" s="319"/>
      <c r="C62" s="315"/>
      <c r="D62" s="315"/>
      <c r="E62" s="350"/>
      <c r="F62" s="363"/>
      <c r="G62" s="364"/>
      <c r="H62" s="397"/>
      <c r="I62" s="397"/>
      <c r="J62" s="366"/>
      <c r="K62" s="367"/>
      <c r="L62" s="367"/>
      <c r="M62" s="367"/>
      <c r="N62" s="398"/>
      <c r="O62" s="370"/>
      <c r="P62" s="371"/>
      <c r="Q62" s="371"/>
      <c r="R62" s="392"/>
      <c r="T62" s="339">
        <f t="shared" si="3"/>
      </c>
    </row>
    <row r="63" spans="1:20" ht="13.5">
      <c r="A63" s="318"/>
      <c r="B63" s="319"/>
      <c r="C63" s="315" t="s">
        <v>121</v>
      </c>
      <c r="D63" s="315"/>
      <c r="E63" s="350"/>
      <c r="F63" s="399"/>
      <c r="G63" s="364"/>
      <c r="H63" s="397"/>
      <c r="I63" s="397"/>
      <c r="J63" s="366"/>
      <c r="K63" s="367"/>
      <c r="L63" s="367"/>
      <c r="M63" s="367">
        <f>+M61*0.01</f>
        <v>0.17819999999999997</v>
      </c>
      <c r="N63" s="398"/>
      <c r="O63" s="370"/>
      <c r="P63" s="371"/>
      <c r="Q63" s="371"/>
      <c r="R63" s="393"/>
      <c r="T63" s="339">
        <f t="shared" si="3"/>
      </c>
    </row>
    <row r="64" spans="1:20" ht="13.5">
      <c r="A64" s="318"/>
      <c r="B64" s="319"/>
      <c r="C64" s="315"/>
      <c r="D64" s="315"/>
      <c r="E64" s="350"/>
      <c r="F64" s="400"/>
      <c r="G64" s="364"/>
      <c r="H64" s="397"/>
      <c r="I64" s="397"/>
      <c r="J64" s="366"/>
      <c r="K64" s="367"/>
      <c r="L64" s="367"/>
      <c r="M64" s="367"/>
      <c r="N64" s="398"/>
      <c r="O64" s="370"/>
      <c r="P64" s="371"/>
      <c r="Q64" s="371"/>
      <c r="R64" s="379"/>
      <c r="T64" s="339">
        <f>IF(F64&gt;0,PI()*(F64/1000)^2,"")</f>
      </c>
    </row>
    <row r="65" spans="1:20" ht="14.25" thickBot="1">
      <c r="A65" s="340"/>
      <c r="B65" s="341"/>
      <c r="C65" s="452" t="s">
        <v>70</v>
      </c>
      <c r="D65" s="316"/>
      <c r="E65" s="453"/>
      <c r="F65" s="401"/>
      <c r="G65" s="402"/>
      <c r="H65" s="403"/>
      <c r="I65" s="403"/>
      <c r="J65" s="404"/>
      <c r="K65" s="405"/>
      <c r="L65" s="406"/>
      <c r="M65" s="407">
        <f>SUM(M61:M64)</f>
        <v>17.998199999999997</v>
      </c>
      <c r="N65" s="408"/>
      <c r="O65" s="409"/>
      <c r="P65" s="470"/>
      <c r="Q65" s="470"/>
      <c r="R65" s="471"/>
      <c r="T65" s="317" t="s">
        <v>72</v>
      </c>
    </row>
    <row r="66" spans="1:20" ht="14.25" thickBot="1">
      <c r="A66" s="472" t="s">
        <v>37</v>
      </c>
      <c r="B66" s="473"/>
      <c r="C66" s="473"/>
      <c r="D66" s="473"/>
      <c r="E66" s="474"/>
      <c r="F66" s="410">
        <f>+M65</f>
        <v>17.998199999999997</v>
      </c>
      <c r="G66" s="411" t="s">
        <v>298</v>
      </c>
      <c r="H66" s="412">
        <f>ROUND(F66*0.0098,2)</f>
        <v>0.18</v>
      </c>
      <c r="I66" s="411" t="str">
        <f>IF(J66&gt;H66,"&lt;","&gt;")</f>
        <v>&lt;</v>
      </c>
      <c r="J66" s="449">
        <v>0.245</v>
      </c>
      <c r="K66" s="413" t="s">
        <v>37</v>
      </c>
      <c r="L66" s="484" t="str">
        <f>25&amp;"-"&amp;M65</f>
        <v>25-17.9982</v>
      </c>
      <c r="M66" s="484"/>
      <c r="N66" s="414" t="s">
        <v>299</v>
      </c>
      <c r="O66" s="415">
        <f>25.5-F66</f>
        <v>7.501800000000003</v>
      </c>
      <c r="P66" s="480" t="s">
        <v>316</v>
      </c>
      <c r="Q66" s="480"/>
      <c r="R66" s="481"/>
      <c r="T66" s="416" t="str">
        <f>IF(I66="&lt;","OK!","×")</f>
        <v>OK!</v>
      </c>
    </row>
    <row r="67" spans="1:18" ht="13.5">
      <c r="A67" s="318"/>
      <c r="B67" s="319"/>
      <c r="C67" s="319"/>
      <c r="D67" s="319"/>
      <c r="E67" s="319"/>
      <c r="F67" s="315"/>
      <c r="G67" s="315"/>
      <c r="H67" s="315"/>
      <c r="I67" s="315"/>
      <c r="J67" s="330"/>
      <c r="K67" s="330"/>
      <c r="L67" s="330"/>
      <c r="M67" s="330"/>
      <c r="N67" s="330"/>
      <c r="O67" s="330"/>
      <c r="P67" s="330"/>
      <c r="Q67" s="330"/>
      <c r="R67" s="338"/>
    </row>
    <row r="68" spans="1:18" s="441" customFormat="1" ht="13.5">
      <c r="A68" s="465" t="s">
        <v>32</v>
      </c>
      <c r="B68" s="466"/>
      <c r="C68" s="466"/>
      <c r="D68" s="466"/>
      <c r="E68" s="466"/>
      <c r="F68" s="466"/>
      <c r="G68" s="202">
        <v>0.25</v>
      </c>
      <c r="H68" s="138" t="s">
        <v>300</v>
      </c>
      <c r="I68" s="437">
        <v>3</v>
      </c>
      <c r="J68" s="138" t="s">
        <v>300</v>
      </c>
      <c r="K68" s="438">
        <v>12</v>
      </c>
      <c r="L68" s="138" t="s">
        <v>301</v>
      </c>
      <c r="M68" s="439">
        <f>+G68*I68*K68</f>
        <v>9</v>
      </c>
      <c r="N68" s="440" t="s">
        <v>302</v>
      </c>
      <c r="O68" s="440"/>
      <c r="P68" s="440"/>
      <c r="Q68" s="440"/>
      <c r="R68" s="149"/>
    </row>
    <row r="69" spans="1:18" ht="13.5">
      <c r="A69" s="482"/>
      <c r="B69" s="483"/>
      <c r="C69" s="483"/>
      <c r="D69" s="483"/>
      <c r="E69" s="483"/>
      <c r="F69" s="483"/>
      <c r="G69" s="315"/>
      <c r="H69" s="326"/>
      <c r="I69" s="326"/>
      <c r="J69" s="330"/>
      <c r="K69" s="330"/>
      <c r="L69" s="330"/>
      <c r="M69" s="330"/>
      <c r="N69" s="330"/>
      <c r="O69" s="330"/>
      <c r="P69" s="330"/>
      <c r="Q69" s="330"/>
      <c r="R69" s="338"/>
    </row>
    <row r="70" spans="1:18" ht="13.5">
      <c r="A70" s="340"/>
      <c r="B70" s="341"/>
      <c r="C70" s="341"/>
      <c r="D70" s="341"/>
      <c r="E70" s="341"/>
      <c r="F70" s="316"/>
      <c r="G70" s="316"/>
      <c r="H70" s="342"/>
      <c r="I70" s="342"/>
      <c r="J70" s="417"/>
      <c r="K70" s="417"/>
      <c r="L70" s="417"/>
      <c r="M70" s="417"/>
      <c r="N70" s="417"/>
      <c r="O70" s="417"/>
      <c r="P70" s="417"/>
      <c r="Q70" s="417"/>
      <c r="R70" s="418"/>
    </row>
    <row r="71" spans="11:12" ht="13.5">
      <c r="K71" s="421"/>
      <c r="L71" s="421"/>
    </row>
    <row r="72" spans="2:12" ht="13.5">
      <c r="B72" s="451" t="s">
        <v>313</v>
      </c>
      <c r="K72" s="421"/>
      <c r="L72" s="421"/>
    </row>
    <row r="73" spans="2:12" ht="13.5">
      <c r="B73" s="419" t="s">
        <v>314</v>
      </c>
      <c r="K73" s="422"/>
      <c r="L73" s="422"/>
    </row>
    <row r="74" spans="11:12" ht="13.5">
      <c r="K74" s="422"/>
      <c r="L74" s="422"/>
    </row>
    <row r="75" spans="11:12" ht="13.5">
      <c r="K75" s="422"/>
      <c r="L75" s="422"/>
    </row>
    <row r="76" spans="11:12" ht="13.5">
      <c r="K76" s="422"/>
      <c r="L76" s="422"/>
    </row>
    <row r="77" spans="11:12" ht="13.5">
      <c r="K77" s="422"/>
      <c r="L77" s="422"/>
    </row>
    <row r="78" spans="11:12" ht="13.5">
      <c r="K78" s="422"/>
      <c r="L78" s="422"/>
    </row>
    <row r="79" spans="11:12" ht="13.5">
      <c r="K79" s="422"/>
      <c r="L79" s="422"/>
    </row>
    <row r="80" spans="11:12" ht="13.5">
      <c r="K80" s="422"/>
      <c r="L80" s="422"/>
    </row>
    <row r="81" spans="11:12" ht="13.5">
      <c r="K81" s="422"/>
      <c r="L81" s="422"/>
    </row>
    <row r="82" spans="11:12" ht="13.5">
      <c r="K82" s="422"/>
      <c r="L82" s="422"/>
    </row>
    <row r="83" spans="11:12" ht="13.5">
      <c r="K83" s="422"/>
      <c r="L83" s="422"/>
    </row>
  </sheetData>
  <sheetProtection/>
  <mergeCells count="12">
    <mergeCell ref="A69:F69"/>
    <mergeCell ref="A66:E66"/>
    <mergeCell ref="L66:M66"/>
    <mergeCell ref="N18:O18"/>
    <mergeCell ref="N19:O19"/>
    <mergeCell ref="A68:F68"/>
    <mergeCell ref="P66:R66"/>
    <mergeCell ref="K4:R5"/>
    <mergeCell ref="P65:R65"/>
    <mergeCell ref="K7:R8"/>
    <mergeCell ref="A1:R1"/>
    <mergeCell ref="A18:E19"/>
  </mergeCells>
  <conditionalFormatting sqref="T66">
    <cfRule type="cellIs" priority="1" dxfId="13" operator="equal" stopIfTrue="1">
      <formula>"OK!"</formula>
    </cfRule>
    <cfRule type="cellIs" priority="2" dxfId="14" operator="equal" stopIfTrue="1">
      <formula>"×"</formula>
    </cfRule>
  </conditionalFormatting>
  <conditionalFormatting sqref="F20:R65 A20:E66">
    <cfRule type="expression" priority="3" dxfId="8" stopIfTrue="1">
      <formula>MOD(ROW(),2)</formula>
    </cfRule>
  </conditionalFormatting>
  <printOptions/>
  <pageMargins left="0.74" right="0.1968503937007874" top="0.6299212598425197" bottom="0.41" header="0.5118110236220472" footer="0.2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showZeros="0" zoomScale="70" zoomScaleNormal="70" zoomScaleSheetLayoutView="100" zoomScalePageLayoutView="0" workbookViewId="0" topLeftCell="A1">
      <selection activeCell="I72" sqref="I72"/>
    </sheetView>
  </sheetViews>
  <sheetFormatPr defaultColWidth="3.25390625" defaultRowHeight="13.5"/>
  <cols>
    <col min="1" max="1" width="4.25390625" style="4" customWidth="1"/>
    <col min="2" max="2" width="2.00390625" style="4" customWidth="1"/>
    <col min="3" max="3" width="6.125" style="4" customWidth="1"/>
    <col min="4" max="4" width="1.37890625" style="4" customWidth="1"/>
    <col min="5" max="5" width="6.125" style="4" customWidth="1"/>
    <col min="6" max="6" width="6.75390625" style="1" customWidth="1"/>
    <col min="7" max="7" width="6.625" style="1" customWidth="1"/>
    <col min="8" max="8" width="7.125" style="0" customWidth="1"/>
    <col min="9" max="9" width="8.375" style="0" customWidth="1"/>
    <col min="10" max="10" width="9.875" style="135" customWidth="1"/>
    <col min="11" max="11" width="8.00390625" style="0" customWidth="1"/>
    <col min="12" max="12" width="6.125" style="0" customWidth="1"/>
    <col min="13" max="13" width="12.25390625" style="0" customWidth="1"/>
    <col min="14" max="14" width="2.625" style="0" bestFit="1" customWidth="1"/>
    <col min="15" max="15" width="5.875" style="0" customWidth="1"/>
    <col min="16" max="16" width="5.375" style="0" customWidth="1"/>
    <col min="17" max="17" width="4.25390625" style="0" customWidth="1"/>
    <col min="18" max="18" width="3.375" style="0" customWidth="1"/>
    <col min="19" max="19" width="3.25390625" style="0" customWidth="1"/>
    <col min="20" max="20" width="5.50390625" style="300" customWidth="1"/>
    <col min="21" max="21" width="4.25390625" style="0" customWidth="1"/>
  </cols>
  <sheetData>
    <row r="1" spans="1:18" ht="17.25">
      <c r="A1" s="456" t="s">
        <v>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</row>
    <row r="2" spans="1:22" s="1" customFormat="1" ht="13.5">
      <c r="A2" s="20" t="s">
        <v>206</v>
      </c>
      <c r="B2" s="12"/>
      <c r="C2" s="13"/>
      <c r="D2" s="13"/>
      <c r="E2" s="13"/>
      <c r="F2" s="13"/>
      <c r="G2" s="13"/>
      <c r="H2" s="13"/>
      <c r="I2" s="13"/>
      <c r="J2" s="13"/>
      <c r="K2" s="118" t="s">
        <v>113</v>
      </c>
      <c r="L2" s="27"/>
      <c r="M2" s="114"/>
      <c r="N2" s="114"/>
      <c r="O2" s="114"/>
      <c r="P2" s="114"/>
      <c r="Q2" s="114"/>
      <c r="R2" s="115"/>
      <c r="S2" s="7"/>
      <c r="T2" s="301"/>
      <c r="V2" s="11"/>
    </row>
    <row r="3" spans="1:22" ht="13.5">
      <c r="A3" s="20"/>
      <c r="B3" s="12"/>
      <c r="C3" s="12"/>
      <c r="D3" s="12"/>
      <c r="E3" s="12"/>
      <c r="F3" s="13"/>
      <c r="G3" s="13"/>
      <c r="H3" s="16"/>
      <c r="I3" s="16"/>
      <c r="J3" s="140"/>
      <c r="K3" s="20" t="s">
        <v>114</v>
      </c>
      <c r="L3" s="13"/>
      <c r="M3" s="12"/>
      <c r="N3" s="12"/>
      <c r="O3" s="16"/>
      <c r="P3" s="16"/>
      <c r="Q3" s="16"/>
      <c r="R3" s="17"/>
      <c r="S3" s="1"/>
      <c r="V3" s="139"/>
    </row>
    <row r="4" spans="1:22" ht="13.5" customHeight="1">
      <c r="A4" s="67" t="s">
        <v>10</v>
      </c>
      <c r="B4" s="28"/>
      <c r="C4" s="28" t="s">
        <v>17</v>
      </c>
      <c r="D4" s="28"/>
      <c r="E4" s="13" t="s">
        <v>18</v>
      </c>
      <c r="F4" s="13"/>
      <c r="G4" s="14" t="s">
        <v>22</v>
      </c>
      <c r="H4" s="29" t="s">
        <v>8</v>
      </c>
      <c r="I4" s="138" t="s">
        <v>151</v>
      </c>
      <c r="J4" s="138" t="s">
        <v>152</v>
      </c>
      <c r="K4" s="20" t="s">
        <v>197</v>
      </c>
      <c r="L4" s="229"/>
      <c r="M4" s="229"/>
      <c r="N4" s="229"/>
      <c r="O4" s="229"/>
      <c r="P4" s="229"/>
      <c r="Q4" s="229"/>
      <c r="R4" s="230"/>
      <c r="V4" s="139"/>
    </row>
    <row r="5" spans="1:22" ht="19.5" customHeight="1">
      <c r="A5" s="18"/>
      <c r="B5" s="13"/>
      <c r="C5" s="13" t="s">
        <v>153</v>
      </c>
      <c r="D5" s="13"/>
      <c r="E5" s="12" t="s">
        <v>131</v>
      </c>
      <c r="F5" s="13"/>
      <c r="G5" s="65"/>
      <c r="H5" s="16"/>
      <c r="I5" s="131"/>
      <c r="J5" s="167">
        <f aca="true" t="shared" si="0" ref="J5:J12">+I5/60</f>
        <v>0</v>
      </c>
      <c r="K5" s="20" t="s">
        <v>198</v>
      </c>
      <c r="L5" s="229"/>
      <c r="M5" s="229"/>
      <c r="N5" s="229"/>
      <c r="O5" s="229"/>
      <c r="P5" s="229"/>
      <c r="Q5" s="229"/>
      <c r="R5" s="230"/>
      <c r="S5" s="1"/>
      <c r="V5" s="139"/>
    </row>
    <row r="6" spans="1:22" ht="13.5">
      <c r="A6" s="18"/>
      <c r="B6" s="13"/>
      <c r="C6" s="13" t="s">
        <v>122</v>
      </c>
      <c r="D6" s="13"/>
      <c r="E6" s="12" t="s">
        <v>20</v>
      </c>
      <c r="F6" s="13"/>
      <c r="G6" s="65" t="s">
        <v>188</v>
      </c>
      <c r="H6" s="16">
        <v>13</v>
      </c>
      <c r="I6" s="131">
        <v>12</v>
      </c>
      <c r="J6" s="167">
        <f t="shared" si="0"/>
        <v>0.2</v>
      </c>
      <c r="K6" s="20" t="s">
        <v>199</v>
      </c>
      <c r="L6" s="13"/>
      <c r="M6" s="12"/>
      <c r="N6" s="12"/>
      <c r="O6" s="16"/>
      <c r="P6" s="16"/>
      <c r="Q6" s="16"/>
      <c r="R6" s="17"/>
      <c r="V6" s="139"/>
    </row>
    <row r="7" spans="1:22" ht="13.5" customHeight="1">
      <c r="A7" s="18"/>
      <c r="B7" s="13"/>
      <c r="C7" s="13" t="s">
        <v>154</v>
      </c>
      <c r="D7" s="13"/>
      <c r="E7" s="12" t="s">
        <v>116</v>
      </c>
      <c r="F7" s="13"/>
      <c r="G7" s="65"/>
      <c r="H7" s="16">
        <v>13</v>
      </c>
      <c r="I7" s="131">
        <v>12</v>
      </c>
      <c r="J7" s="167">
        <f t="shared" si="0"/>
        <v>0.2</v>
      </c>
      <c r="K7" s="20" t="s">
        <v>200</v>
      </c>
      <c r="L7" s="12"/>
      <c r="M7" s="12"/>
      <c r="N7" s="12"/>
      <c r="O7" s="12"/>
      <c r="P7" s="12"/>
      <c r="Q7" s="12"/>
      <c r="R7" s="31"/>
      <c r="S7" s="1"/>
      <c r="V7" s="139"/>
    </row>
    <row r="8" spans="1:21" ht="13.5">
      <c r="A8" s="18"/>
      <c r="B8" s="13"/>
      <c r="C8" s="13" t="s">
        <v>155</v>
      </c>
      <c r="D8" s="13"/>
      <c r="E8" s="12" t="s">
        <v>124</v>
      </c>
      <c r="F8" s="13"/>
      <c r="G8" s="13"/>
      <c r="H8" s="16">
        <v>13</v>
      </c>
      <c r="I8" s="131">
        <v>8</v>
      </c>
      <c r="J8" s="167">
        <f t="shared" si="0"/>
        <v>0.13333333333333333</v>
      </c>
      <c r="K8" s="20"/>
      <c r="L8" s="12"/>
      <c r="M8" s="12"/>
      <c r="N8" s="12"/>
      <c r="O8" s="12"/>
      <c r="P8" s="12"/>
      <c r="Q8" s="12"/>
      <c r="R8" s="31"/>
      <c r="T8" s="307" t="s">
        <v>229</v>
      </c>
      <c r="U8" s="16"/>
    </row>
    <row r="9" spans="1:21" ht="13.5">
      <c r="A9" s="18"/>
      <c r="B9" s="13"/>
      <c r="C9" s="13" t="s">
        <v>189</v>
      </c>
      <c r="D9" s="13"/>
      <c r="E9" s="12" t="s">
        <v>115</v>
      </c>
      <c r="F9" s="13"/>
      <c r="G9" s="65"/>
      <c r="H9" s="16">
        <v>13</v>
      </c>
      <c r="I9" s="131">
        <v>20</v>
      </c>
      <c r="J9" s="167">
        <f t="shared" si="0"/>
        <v>0.3333333333333333</v>
      </c>
      <c r="K9" s="18"/>
      <c r="L9" s="13"/>
      <c r="M9" s="12"/>
      <c r="N9" s="12"/>
      <c r="O9" s="16"/>
      <c r="P9" s="16"/>
      <c r="Q9" s="16"/>
      <c r="R9" s="17"/>
      <c r="T9" s="165" t="s">
        <v>139</v>
      </c>
      <c r="U9" s="138" t="s">
        <v>152</v>
      </c>
    </row>
    <row r="10" spans="1:21" ht="13.5">
      <c r="A10" s="18"/>
      <c r="B10" s="13"/>
      <c r="C10" s="13" t="s">
        <v>156</v>
      </c>
      <c r="D10" s="13"/>
      <c r="E10" s="12" t="s">
        <v>195</v>
      </c>
      <c r="F10" s="13"/>
      <c r="G10" s="65" t="s">
        <v>190</v>
      </c>
      <c r="H10" s="16">
        <v>13</v>
      </c>
      <c r="I10" s="131">
        <v>8</v>
      </c>
      <c r="J10" s="167">
        <f t="shared" si="0"/>
        <v>0.13333333333333333</v>
      </c>
      <c r="K10" s="18" t="s">
        <v>157</v>
      </c>
      <c r="L10" s="164" t="s">
        <v>201</v>
      </c>
      <c r="M10" s="12"/>
      <c r="N10" s="107" t="s">
        <v>158</v>
      </c>
      <c r="O10" s="16" t="e">
        <f>[1]!textcalc(L10)</f>
        <v>#NAME?</v>
      </c>
      <c r="P10" s="165" t="s">
        <v>139</v>
      </c>
      <c r="Q10" s="163" t="e">
        <f aca="true" t="shared" si="1" ref="Q10:Q16">ROUND((O10/60),2)</f>
        <v>#NAME?</v>
      </c>
      <c r="R10" s="149" t="s">
        <v>152</v>
      </c>
      <c r="T10" s="305">
        <f>19*12^0.67</f>
        <v>100.4164897715819</v>
      </c>
      <c r="U10" s="305">
        <f>+T10/60</f>
        <v>1.6736081628596982</v>
      </c>
    </row>
    <row r="11" spans="1:21" ht="13.5">
      <c r="A11" s="18"/>
      <c r="B11" s="13"/>
      <c r="C11" s="13"/>
      <c r="D11" s="13"/>
      <c r="E11" s="12"/>
      <c r="F11" s="13"/>
      <c r="G11" s="65"/>
      <c r="H11" s="16"/>
      <c r="I11" s="16"/>
      <c r="J11" s="140"/>
      <c r="K11" s="18" t="s">
        <v>159</v>
      </c>
      <c r="L11" s="164" t="s">
        <v>202</v>
      </c>
      <c r="M11" s="16"/>
      <c r="N11" s="107" t="s">
        <v>158</v>
      </c>
      <c r="O11" s="16" t="e">
        <f>[1]!textcalc(L11)</f>
        <v>#NAME?</v>
      </c>
      <c r="P11" s="165" t="s">
        <v>139</v>
      </c>
      <c r="Q11" s="163" t="e">
        <f t="shared" si="1"/>
        <v>#NAME?</v>
      </c>
      <c r="R11" s="149" t="s">
        <v>152</v>
      </c>
      <c r="T11" s="305">
        <f>42*6^0.33</f>
        <v>75.86460536278405</v>
      </c>
      <c r="U11" s="305">
        <f>+T11/60</f>
        <v>1.264410089379734</v>
      </c>
    </row>
    <row r="12" spans="1:21" ht="13.5">
      <c r="A12" s="18"/>
      <c r="B12" s="13"/>
      <c r="C12" s="13"/>
      <c r="D12" s="13"/>
      <c r="E12" s="12"/>
      <c r="F12" s="13"/>
      <c r="G12" s="65"/>
      <c r="H12" s="228" t="s">
        <v>196</v>
      </c>
      <c r="I12" s="227">
        <f>AVERAGE(I6:I10)</f>
        <v>12</v>
      </c>
      <c r="J12" s="167">
        <f t="shared" si="0"/>
        <v>0.2</v>
      </c>
      <c r="K12" s="18" t="s">
        <v>160</v>
      </c>
      <c r="L12" s="164" t="s">
        <v>203</v>
      </c>
      <c r="M12" s="16"/>
      <c r="N12" s="107" t="s">
        <v>158</v>
      </c>
      <c r="O12" s="16" t="e">
        <f>[1]!textcalc(L12)</f>
        <v>#NAME?</v>
      </c>
      <c r="P12" s="165" t="s">
        <v>139</v>
      </c>
      <c r="Q12" s="163" t="e">
        <f t="shared" si="1"/>
        <v>#NAME?</v>
      </c>
      <c r="R12" s="149" t="s">
        <v>152</v>
      </c>
      <c r="T12" s="305">
        <f>42*4^0.33</f>
        <v>66.36347019652368</v>
      </c>
      <c r="U12" s="305">
        <f>+T12/60</f>
        <v>1.106057836608728</v>
      </c>
    </row>
    <row r="13" spans="1:21" ht="13.5">
      <c r="A13" s="18"/>
      <c r="B13" s="13"/>
      <c r="C13" s="12" t="s">
        <v>38</v>
      </c>
      <c r="D13" s="13"/>
      <c r="E13" s="12"/>
      <c r="F13" s="13"/>
      <c r="G13" s="13"/>
      <c r="H13" s="16"/>
      <c r="I13" s="16"/>
      <c r="J13" s="140"/>
      <c r="K13" s="18" t="s">
        <v>161</v>
      </c>
      <c r="L13" s="164" t="s">
        <v>227</v>
      </c>
      <c r="M13" s="16"/>
      <c r="N13" s="107" t="s">
        <v>158</v>
      </c>
      <c r="O13" s="16" t="e">
        <f>[1]!textcalc(L13)</f>
        <v>#NAME?</v>
      </c>
      <c r="P13" s="165" t="s">
        <v>139</v>
      </c>
      <c r="Q13" s="163" t="e">
        <f t="shared" si="1"/>
        <v>#NAME?</v>
      </c>
      <c r="R13" s="149" t="s">
        <v>152</v>
      </c>
      <c r="T13" s="305">
        <f>42*2^0.33</f>
        <v>52.79456172991679</v>
      </c>
      <c r="U13" s="305">
        <f>+T13/60</f>
        <v>0.8799093621652799</v>
      </c>
    </row>
    <row r="14" spans="1:21" ht="13.5">
      <c r="A14" s="20"/>
      <c r="B14" s="12"/>
      <c r="C14" s="12"/>
      <c r="D14" s="12"/>
      <c r="E14" s="12"/>
      <c r="F14" s="13"/>
      <c r="G14" s="13"/>
      <c r="H14" s="16"/>
      <c r="I14" s="16"/>
      <c r="J14" s="140"/>
      <c r="K14" s="18" t="s">
        <v>162</v>
      </c>
      <c r="L14" s="164" t="s">
        <v>205</v>
      </c>
      <c r="M14" s="16"/>
      <c r="N14" s="107" t="s">
        <v>191</v>
      </c>
      <c r="O14" s="16" t="e">
        <f>[1]!textcalc(L14)</f>
        <v>#NAME?</v>
      </c>
      <c r="P14" s="165" t="s">
        <v>139</v>
      </c>
      <c r="Q14" s="163" t="e">
        <f t="shared" si="1"/>
        <v>#NAME?</v>
      </c>
      <c r="R14" s="149" t="s">
        <v>192</v>
      </c>
      <c r="T14" s="306">
        <f>42*1^0.33</f>
        <v>42</v>
      </c>
      <c r="U14" s="305">
        <f>+T14/60</f>
        <v>0.7</v>
      </c>
    </row>
    <row r="15" spans="1:18" ht="13.5">
      <c r="A15" s="20"/>
      <c r="B15" s="12"/>
      <c r="C15" s="12"/>
      <c r="D15" s="12"/>
      <c r="E15" s="12"/>
      <c r="F15" s="13"/>
      <c r="G15" s="13"/>
      <c r="H15" s="16"/>
      <c r="I15" s="16"/>
      <c r="J15" s="140"/>
      <c r="K15" s="18" t="s">
        <v>193</v>
      </c>
      <c r="L15" s="164" t="s">
        <v>205</v>
      </c>
      <c r="M15" s="16"/>
      <c r="N15" s="107" t="s">
        <v>191</v>
      </c>
      <c r="O15" s="16" t="e">
        <f>[1]!textcalc(L15)</f>
        <v>#NAME?</v>
      </c>
      <c r="P15" s="165" t="s">
        <v>139</v>
      </c>
      <c r="Q15" s="163" t="e">
        <f t="shared" si="1"/>
        <v>#NAME?</v>
      </c>
      <c r="R15" s="149" t="s">
        <v>192</v>
      </c>
    </row>
    <row r="16" spans="1:18" ht="13.5">
      <c r="A16" s="20"/>
      <c r="B16" s="12"/>
      <c r="C16" s="12"/>
      <c r="D16" s="12"/>
      <c r="E16" s="12"/>
      <c r="F16" s="13"/>
      <c r="G16" s="13"/>
      <c r="H16" s="16"/>
      <c r="I16" s="16"/>
      <c r="J16" s="140"/>
      <c r="K16" s="18" t="s">
        <v>194</v>
      </c>
      <c r="L16" s="164" t="s">
        <v>204</v>
      </c>
      <c r="M16" s="16"/>
      <c r="N16" s="107" t="s">
        <v>191</v>
      </c>
      <c r="O16" s="16" t="e">
        <f>[1]!textcalc(L16)</f>
        <v>#NAME?</v>
      </c>
      <c r="P16" s="165" t="s">
        <v>139</v>
      </c>
      <c r="Q16" s="163" t="e">
        <f t="shared" si="1"/>
        <v>#NAME?</v>
      </c>
      <c r="R16" s="149" t="s">
        <v>192</v>
      </c>
    </row>
    <row r="17" spans="1:18" ht="13.5">
      <c r="A17" s="21" t="s">
        <v>34</v>
      </c>
      <c r="B17" s="22"/>
      <c r="C17" s="22"/>
      <c r="D17" s="22"/>
      <c r="E17" s="22"/>
      <c r="F17" s="23"/>
      <c r="G17" s="23"/>
      <c r="H17" s="24"/>
      <c r="I17" s="24"/>
      <c r="J17" s="141"/>
      <c r="K17" s="117"/>
      <c r="L17" s="24"/>
      <c r="M17" s="24"/>
      <c r="N17" s="24"/>
      <c r="O17" s="24"/>
      <c r="P17" s="24"/>
      <c r="Q17" s="24"/>
      <c r="R17" s="26"/>
    </row>
    <row r="18" spans="1:23" s="2" customFormat="1" ht="13.5">
      <c r="A18" s="459" t="s">
        <v>5</v>
      </c>
      <c r="B18" s="460"/>
      <c r="C18" s="460"/>
      <c r="D18" s="460"/>
      <c r="E18" s="461"/>
      <c r="F18" s="52" t="s">
        <v>7</v>
      </c>
      <c r="G18" s="53" t="s">
        <v>9</v>
      </c>
      <c r="H18" s="53" t="s">
        <v>0</v>
      </c>
      <c r="I18" s="53" t="s">
        <v>25</v>
      </c>
      <c r="J18" s="142" t="s">
        <v>26</v>
      </c>
      <c r="K18" s="53" t="s">
        <v>1</v>
      </c>
      <c r="L18" s="53" t="s">
        <v>51</v>
      </c>
      <c r="M18" s="55" t="s">
        <v>2</v>
      </c>
      <c r="N18" s="476" t="s">
        <v>150</v>
      </c>
      <c r="O18" s="477"/>
      <c r="P18" s="161"/>
      <c r="Q18" s="161"/>
      <c r="R18" s="160"/>
      <c r="S18" s="3"/>
      <c r="T18" s="302"/>
      <c r="U18" s="3"/>
      <c r="V18" s="3"/>
      <c r="W18" s="3"/>
    </row>
    <row r="19" spans="1:23" s="2" customFormat="1" ht="13.5">
      <c r="A19" s="462"/>
      <c r="B19" s="463"/>
      <c r="C19" s="463"/>
      <c r="D19" s="463"/>
      <c r="E19" s="464"/>
      <c r="F19" s="56" t="s">
        <v>163</v>
      </c>
      <c r="G19" s="57"/>
      <c r="H19" s="57" t="s">
        <v>28</v>
      </c>
      <c r="I19" s="57" t="s">
        <v>164</v>
      </c>
      <c r="J19" s="143" t="s">
        <v>31</v>
      </c>
      <c r="K19" s="144" t="s">
        <v>164</v>
      </c>
      <c r="L19" s="144" t="s">
        <v>164</v>
      </c>
      <c r="M19" s="60" t="s">
        <v>164</v>
      </c>
      <c r="N19" s="478" t="s">
        <v>165</v>
      </c>
      <c r="O19" s="479"/>
      <c r="P19" s="23"/>
      <c r="Q19" s="23"/>
      <c r="R19" s="159"/>
      <c r="S19" s="3"/>
      <c r="T19" s="303"/>
      <c r="U19" s="3"/>
      <c r="V19" s="3"/>
      <c r="W19" s="3"/>
    </row>
    <row r="20" spans="1:20" ht="13.5">
      <c r="A20" s="18" t="s">
        <v>166</v>
      </c>
      <c r="B20" s="13" t="s">
        <v>167</v>
      </c>
      <c r="C20" s="13" t="s">
        <v>168</v>
      </c>
      <c r="D20" s="13"/>
      <c r="E20" s="30"/>
      <c r="F20" s="168"/>
      <c r="G20" s="169"/>
      <c r="H20" s="170"/>
      <c r="I20" s="166"/>
      <c r="J20" s="187"/>
      <c r="K20" s="188"/>
      <c r="L20" s="189"/>
      <c r="M20" s="190"/>
      <c r="N20" s="205"/>
      <c r="O20" s="211"/>
      <c r="P20" s="171"/>
      <c r="Q20" s="171"/>
      <c r="R20" s="172"/>
      <c r="T20" s="129"/>
    </row>
    <row r="21" spans="1:20" ht="13.5">
      <c r="A21" s="18"/>
      <c r="B21" s="13"/>
      <c r="C21" s="13" t="s">
        <v>169</v>
      </c>
      <c r="D21" s="13"/>
      <c r="E21" s="30"/>
      <c r="F21" s="173">
        <v>50</v>
      </c>
      <c r="G21" s="174"/>
      <c r="H21" s="145">
        <v>3.2</v>
      </c>
      <c r="I21" s="145">
        <v>25.6</v>
      </c>
      <c r="J21" s="191">
        <v>60</v>
      </c>
      <c r="K21" s="192">
        <f aca="true" t="shared" si="2" ref="K21:K35">ROUND((I21*J21)/1000,2)</f>
        <v>1.54</v>
      </c>
      <c r="L21" s="192">
        <v>1</v>
      </c>
      <c r="M21" s="193">
        <f aca="true" t="shared" si="3" ref="M21:M35">SUM(K21:L21)</f>
        <v>2.54</v>
      </c>
      <c r="N21" s="206"/>
      <c r="O21" s="212">
        <f>(4/T21)*H21/1000</f>
        <v>1.6297466172610084</v>
      </c>
      <c r="P21" s="175"/>
      <c r="Q21" s="175"/>
      <c r="R21" s="176"/>
      <c r="T21" s="129">
        <f aca="true" t="shared" si="4" ref="T21:T63">IF(F21&lt;&gt;"",PI()*(F21/1000)^2,"")</f>
        <v>0.007853981633974483</v>
      </c>
    </row>
    <row r="22" spans="1:20" ht="13.5">
      <c r="A22" s="18"/>
      <c r="B22" s="13"/>
      <c r="C22" s="13" t="s">
        <v>129</v>
      </c>
      <c r="D22" s="13"/>
      <c r="E22" s="30"/>
      <c r="F22" s="173">
        <v>50</v>
      </c>
      <c r="G22" s="174">
        <v>1</v>
      </c>
      <c r="H22" s="145">
        <v>3.2</v>
      </c>
      <c r="I22" s="145">
        <v>0.4</v>
      </c>
      <c r="J22" s="191">
        <v>60</v>
      </c>
      <c r="K22" s="192">
        <f t="shared" si="2"/>
        <v>0.02</v>
      </c>
      <c r="L22" s="192"/>
      <c r="M22" s="193">
        <f t="shared" si="3"/>
        <v>0.02</v>
      </c>
      <c r="N22" s="206"/>
      <c r="O22" s="212"/>
      <c r="P22" s="175"/>
      <c r="Q22" s="175"/>
      <c r="R22" s="176"/>
      <c r="T22" s="129">
        <f t="shared" si="4"/>
        <v>0.007853981633974483</v>
      </c>
    </row>
    <row r="23" spans="1:20" ht="13.5">
      <c r="A23" s="18"/>
      <c r="B23" s="13"/>
      <c r="C23" s="13" t="s">
        <v>170</v>
      </c>
      <c r="D23" s="13"/>
      <c r="E23" s="30"/>
      <c r="F23" s="173">
        <v>50</v>
      </c>
      <c r="G23" s="174">
        <v>1</v>
      </c>
      <c r="H23" s="145">
        <v>3.2</v>
      </c>
      <c r="I23" s="145">
        <v>18</v>
      </c>
      <c r="J23" s="191">
        <v>60</v>
      </c>
      <c r="K23" s="192">
        <f t="shared" si="2"/>
        <v>1.08</v>
      </c>
      <c r="L23" s="192"/>
      <c r="M23" s="193">
        <f t="shared" si="3"/>
        <v>1.08</v>
      </c>
      <c r="N23" s="206"/>
      <c r="O23" s="212"/>
      <c r="P23" s="175"/>
      <c r="Q23" s="175"/>
      <c r="R23" s="176"/>
      <c r="T23" s="129">
        <f t="shared" si="4"/>
        <v>0.007853981633974483</v>
      </c>
    </row>
    <row r="24" spans="1:20" ht="13.5">
      <c r="A24" s="18"/>
      <c r="B24" s="13"/>
      <c r="C24" s="13" t="s">
        <v>130</v>
      </c>
      <c r="D24" s="13"/>
      <c r="E24" s="30"/>
      <c r="F24" s="173">
        <v>50</v>
      </c>
      <c r="G24" s="174">
        <v>1</v>
      </c>
      <c r="H24" s="145">
        <v>3.2</v>
      </c>
      <c r="I24" s="145">
        <v>7</v>
      </c>
      <c r="J24" s="191">
        <v>60</v>
      </c>
      <c r="K24" s="192">
        <f t="shared" si="2"/>
        <v>0.42</v>
      </c>
      <c r="L24" s="192"/>
      <c r="M24" s="193">
        <f t="shared" si="3"/>
        <v>0.42</v>
      </c>
      <c r="N24" s="206"/>
      <c r="O24" s="212"/>
      <c r="P24" s="175"/>
      <c r="Q24" s="175"/>
      <c r="R24" s="176"/>
      <c r="T24" s="129">
        <f t="shared" si="4"/>
        <v>0.007853981633974483</v>
      </c>
    </row>
    <row r="25" spans="1:20" ht="13.5">
      <c r="A25" s="18"/>
      <c r="B25" s="13"/>
      <c r="C25" s="13" t="s">
        <v>132</v>
      </c>
      <c r="D25" s="13"/>
      <c r="E25" s="30"/>
      <c r="F25" s="173">
        <v>50</v>
      </c>
      <c r="G25" s="174">
        <v>1</v>
      </c>
      <c r="H25" s="145">
        <v>3.2</v>
      </c>
      <c r="I25" s="145">
        <v>5</v>
      </c>
      <c r="J25" s="191">
        <v>60</v>
      </c>
      <c r="K25" s="192">
        <f t="shared" si="2"/>
        <v>0.3</v>
      </c>
      <c r="L25" s="192"/>
      <c r="M25" s="193">
        <f t="shared" si="3"/>
        <v>0.3</v>
      </c>
      <c r="N25" s="206"/>
      <c r="O25" s="212"/>
      <c r="P25" s="175"/>
      <c r="Q25" s="175"/>
      <c r="R25" s="176"/>
      <c r="T25" s="129">
        <f t="shared" si="4"/>
        <v>0.007853981633974483</v>
      </c>
    </row>
    <row r="26" spans="1:20" ht="13.5">
      <c r="A26" s="18"/>
      <c r="B26" s="13"/>
      <c r="C26" s="13"/>
      <c r="D26" s="13"/>
      <c r="E26" s="30"/>
      <c r="F26" s="173"/>
      <c r="G26" s="174"/>
      <c r="H26" s="145"/>
      <c r="I26" s="145"/>
      <c r="J26" s="191"/>
      <c r="K26" s="192">
        <f t="shared" si="2"/>
        <v>0</v>
      </c>
      <c r="L26" s="192"/>
      <c r="M26" s="193">
        <f t="shared" si="3"/>
        <v>0</v>
      </c>
      <c r="N26" s="206"/>
      <c r="O26" s="212"/>
      <c r="P26" s="175"/>
      <c r="Q26" s="175"/>
      <c r="R26" s="177"/>
      <c r="T26" s="129">
        <f t="shared" si="4"/>
      </c>
    </row>
    <row r="27" spans="1:20" ht="13.5">
      <c r="A27" s="18" t="s">
        <v>111</v>
      </c>
      <c r="B27" s="13" t="s">
        <v>47</v>
      </c>
      <c r="C27" s="13" t="s">
        <v>53</v>
      </c>
      <c r="D27" s="13"/>
      <c r="E27" s="30"/>
      <c r="F27" s="178"/>
      <c r="G27" s="174"/>
      <c r="H27" s="146"/>
      <c r="I27" s="145"/>
      <c r="J27" s="191"/>
      <c r="K27" s="192">
        <f t="shared" si="2"/>
        <v>0</v>
      </c>
      <c r="L27" s="194"/>
      <c r="M27" s="193">
        <f t="shared" si="3"/>
        <v>0</v>
      </c>
      <c r="N27" s="206"/>
      <c r="O27" s="212"/>
      <c r="P27" s="175"/>
      <c r="Q27" s="175"/>
      <c r="R27" s="177"/>
      <c r="T27" s="129">
        <f t="shared" si="4"/>
      </c>
    </row>
    <row r="28" spans="1:20" ht="13.5">
      <c r="A28" s="18"/>
      <c r="B28" s="13"/>
      <c r="C28" s="13" t="s">
        <v>134</v>
      </c>
      <c r="D28" s="13"/>
      <c r="E28" s="30"/>
      <c r="F28" s="178">
        <v>40</v>
      </c>
      <c r="G28" s="179"/>
      <c r="H28" s="146">
        <v>1.8</v>
      </c>
      <c r="I28" s="145">
        <v>23.5</v>
      </c>
      <c r="J28" s="191">
        <v>61</v>
      </c>
      <c r="K28" s="192">
        <f t="shared" si="2"/>
        <v>1.43</v>
      </c>
      <c r="L28" s="195">
        <v>2.5</v>
      </c>
      <c r="M28" s="193">
        <f t="shared" si="3"/>
        <v>3.9299999999999997</v>
      </c>
      <c r="N28" s="206"/>
      <c r="O28" s="212">
        <f>(4/T28)*H28/1000</f>
        <v>1.432394487827058</v>
      </c>
      <c r="P28" s="175"/>
      <c r="Q28" s="175"/>
      <c r="R28" s="176"/>
      <c r="T28" s="129">
        <f t="shared" si="4"/>
        <v>0.005026548245743669</v>
      </c>
    </row>
    <row r="29" spans="1:20" ht="13.5">
      <c r="A29" s="18"/>
      <c r="B29" s="13"/>
      <c r="C29" s="13" t="s">
        <v>145</v>
      </c>
      <c r="D29" s="13"/>
      <c r="E29" s="30"/>
      <c r="F29" s="178" t="s">
        <v>136</v>
      </c>
      <c r="G29" s="179">
        <v>1</v>
      </c>
      <c r="H29" s="146">
        <v>1.8</v>
      </c>
      <c r="I29" s="145">
        <v>1</v>
      </c>
      <c r="J29" s="191">
        <v>61</v>
      </c>
      <c r="K29" s="192">
        <f t="shared" si="2"/>
        <v>0.06</v>
      </c>
      <c r="L29" s="192"/>
      <c r="M29" s="193">
        <f t="shared" si="3"/>
        <v>0.06</v>
      </c>
      <c r="N29" s="206"/>
      <c r="O29" s="212"/>
      <c r="P29" s="175"/>
      <c r="Q29" s="175"/>
      <c r="R29" s="176"/>
      <c r="T29" s="129" t="e">
        <f t="shared" si="4"/>
        <v>#VALUE!</v>
      </c>
    </row>
    <row r="30" spans="1:20" ht="13.5">
      <c r="A30" s="18"/>
      <c r="B30" s="13"/>
      <c r="C30" s="13" t="s">
        <v>135</v>
      </c>
      <c r="D30" s="13"/>
      <c r="E30" s="30"/>
      <c r="F30" s="178">
        <v>40</v>
      </c>
      <c r="G30" s="174">
        <v>3</v>
      </c>
      <c r="H30" s="146">
        <v>1.8</v>
      </c>
      <c r="I30" s="145">
        <v>3</v>
      </c>
      <c r="J30" s="191">
        <v>61</v>
      </c>
      <c r="K30" s="192">
        <f t="shared" si="2"/>
        <v>0.18</v>
      </c>
      <c r="L30" s="192"/>
      <c r="M30" s="193">
        <f t="shared" si="3"/>
        <v>0.18</v>
      </c>
      <c r="N30" s="206"/>
      <c r="O30" s="212"/>
      <c r="P30" s="175"/>
      <c r="Q30" s="175"/>
      <c r="R30" s="176"/>
      <c r="T30" s="129">
        <f t="shared" si="4"/>
        <v>0.005026548245743669</v>
      </c>
    </row>
    <row r="31" spans="1:20" ht="13.5">
      <c r="A31" s="18"/>
      <c r="B31" s="13"/>
      <c r="C31" s="13" t="s">
        <v>118</v>
      </c>
      <c r="D31" s="13"/>
      <c r="E31" s="30"/>
      <c r="F31" s="178">
        <v>40</v>
      </c>
      <c r="G31" s="174">
        <v>1</v>
      </c>
      <c r="H31" s="146">
        <v>1.8</v>
      </c>
      <c r="I31" s="145">
        <v>0.4</v>
      </c>
      <c r="J31" s="191">
        <v>61</v>
      </c>
      <c r="K31" s="192">
        <f t="shared" si="2"/>
        <v>0.02</v>
      </c>
      <c r="L31" s="192"/>
      <c r="M31" s="193">
        <f t="shared" si="3"/>
        <v>0.02</v>
      </c>
      <c r="N31" s="206"/>
      <c r="O31" s="212"/>
      <c r="P31" s="175"/>
      <c r="Q31" s="175"/>
      <c r="R31" s="176"/>
      <c r="T31" s="129">
        <f t="shared" si="4"/>
        <v>0.005026548245743669</v>
      </c>
    </row>
    <row r="32" spans="1:20" ht="13.5">
      <c r="A32" s="18"/>
      <c r="B32" s="13"/>
      <c r="C32" s="13"/>
      <c r="D32" s="13"/>
      <c r="E32" s="30"/>
      <c r="F32" s="173"/>
      <c r="G32" s="174"/>
      <c r="H32" s="145"/>
      <c r="I32" s="145"/>
      <c r="J32" s="191"/>
      <c r="K32" s="192">
        <f t="shared" si="2"/>
        <v>0</v>
      </c>
      <c r="L32" s="192"/>
      <c r="M32" s="193">
        <f t="shared" si="3"/>
        <v>0</v>
      </c>
      <c r="N32" s="206"/>
      <c r="O32" s="212"/>
      <c r="P32" s="175"/>
      <c r="Q32" s="175"/>
      <c r="R32" s="176"/>
      <c r="T32" s="129">
        <f t="shared" si="4"/>
      </c>
    </row>
    <row r="33" spans="1:20" ht="13.5">
      <c r="A33" s="18" t="s">
        <v>171</v>
      </c>
      <c r="B33" s="13" t="s">
        <v>172</v>
      </c>
      <c r="C33" s="13" t="s">
        <v>173</v>
      </c>
      <c r="D33" s="13"/>
      <c r="E33" s="30"/>
      <c r="F33" s="173"/>
      <c r="G33" s="174"/>
      <c r="H33" s="145"/>
      <c r="I33" s="145"/>
      <c r="J33" s="191"/>
      <c r="K33" s="192">
        <f t="shared" si="2"/>
        <v>0</v>
      </c>
      <c r="L33" s="192"/>
      <c r="M33" s="193">
        <f t="shared" si="3"/>
        <v>0</v>
      </c>
      <c r="N33" s="206"/>
      <c r="O33" s="212"/>
      <c r="P33" s="175"/>
      <c r="Q33" s="175"/>
      <c r="R33" s="180"/>
      <c r="T33" s="129">
        <f t="shared" si="4"/>
      </c>
    </row>
    <row r="34" spans="1:20" ht="13.5">
      <c r="A34" s="18"/>
      <c r="B34" s="13"/>
      <c r="C34" s="13" t="s">
        <v>174</v>
      </c>
      <c r="D34" s="13"/>
      <c r="E34" s="30"/>
      <c r="F34" s="178">
        <v>40</v>
      </c>
      <c r="G34" s="174"/>
      <c r="H34" s="145">
        <v>1.2</v>
      </c>
      <c r="I34" s="146">
        <v>2.6</v>
      </c>
      <c r="J34" s="196">
        <v>30</v>
      </c>
      <c r="K34" s="192">
        <f t="shared" si="2"/>
        <v>0.08</v>
      </c>
      <c r="L34" s="194">
        <v>2.6</v>
      </c>
      <c r="M34" s="193">
        <f t="shared" si="3"/>
        <v>2.68</v>
      </c>
      <c r="N34" s="207"/>
      <c r="O34" s="212">
        <f>(4/T34)*H34/1000</f>
        <v>0.9549296585513721</v>
      </c>
      <c r="P34" s="181"/>
      <c r="Q34" s="181"/>
      <c r="R34" s="182"/>
      <c r="T34" s="129">
        <f t="shared" si="4"/>
        <v>0.005026548245743669</v>
      </c>
    </row>
    <row r="35" spans="1:20" ht="13.5">
      <c r="A35" s="18"/>
      <c r="B35" s="13"/>
      <c r="C35" s="13" t="s">
        <v>175</v>
      </c>
      <c r="D35" s="13"/>
      <c r="E35" s="30"/>
      <c r="F35" s="178">
        <v>40</v>
      </c>
      <c r="G35" s="174">
        <v>1</v>
      </c>
      <c r="H35" s="145">
        <v>1.2</v>
      </c>
      <c r="I35" s="146">
        <v>1</v>
      </c>
      <c r="J35" s="196">
        <v>30</v>
      </c>
      <c r="K35" s="192">
        <f t="shared" si="2"/>
        <v>0.03</v>
      </c>
      <c r="L35" s="194"/>
      <c r="M35" s="193">
        <f t="shared" si="3"/>
        <v>0.03</v>
      </c>
      <c r="N35" s="207"/>
      <c r="O35" s="213"/>
      <c r="P35" s="181"/>
      <c r="Q35" s="181"/>
      <c r="R35" s="182"/>
      <c r="T35" s="129">
        <f t="shared" si="4"/>
        <v>0.005026548245743669</v>
      </c>
    </row>
    <row r="36" spans="1:20" ht="13.5">
      <c r="A36" s="18"/>
      <c r="B36" s="13"/>
      <c r="C36" s="13"/>
      <c r="D36" s="13"/>
      <c r="E36" s="30"/>
      <c r="F36" s="178"/>
      <c r="G36" s="174"/>
      <c r="H36" s="145"/>
      <c r="I36" s="146"/>
      <c r="J36" s="196"/>
      <c r="K36" s="192"/>
      <c r="L36" s="194"/>
      <c r="M36" s="193"/>
      <c r="N36" s="207"/>
      <c r="O36" s="213"/>
      <c r="P36" s="181"/>
      <c r="Q36" s="181"/>
      <c r="R36" s="182"/>
      <c r="T36" s="129">
        <f t="shared" si="4"/>
      </c>
    </row>
    <row r="37" spans="1:20" ht="13.5">
      <c r="A37" s="18" t="s">
        <v>173</v>
      </c>
      <c r="B37" s="13" t="s">
        <v>172</v>
      </c>
      <c r="C37" s="13" t="s">
        <v>176</v>
      </c>
      <c r="D37" s="13"/>
      <c r="E37" s="30"/>
      <c r="F37" s="178"/>
      <c r="G37" s="174"/>
      <c r="H37" s="145"/>
      <c r="I37" s="146"/>
      <c r="J37" s="196"/>
      <c r="K37" s="192"/>
      <c r="L37" s="194"/>
      <c r="M37" s="193"/>
      <c r="N37" s="207"/>
      <c r="O37" s="213"/>
      <c r="P37" s="181"/>
      <c r="Q37" s="181"/>
      <c r="R37" s="182"/>
      <c r="T37" s="129">
        <f t="shared" si="4"/>
      </c>
    </row>
    <row r="38" spans="1:20" ht="13.5">
      <c r="A38" s="18"/>
      <c r="B38" s="13"/>
      <c r="C38" s="13" t="s">
        <v>174</v>
      </c>
      <c r="D38" s="13"/>
      <c r="E38" s="30"/>
      <c r="F38" s="178">
        <v>25</v>
      </c>
      <c r="G38" s="174"/>
      <c r="H38" s="145">
        <v>0.6</v>
      </c>
      <c r="I38" s="146">
        <v>3.6</v>
      </c>
      <c r="J38" s="196">
        <v>95</v>
      </c>
      <c r="K38" s="192">
        <f>ROUND((I38*J38)/1000,2)</f>
        <v>0.34</v>
      </c>
      <c r="L38" s="194">
        <v>2.6</v>
      </c>
      <c r="M38" s="193">
        <f>SUM(K38:L38)</f>
        <v>2.94</v>
      </c>
      <c r="N38" s="207"/>
      <c r="O38" s="212">
        <f>(4/T38)*H38/1000</f>
        <v>1.2223099629457561</v>
      </c>
      <c r="P38" s="181"/>
      <c r="Q38" s="181"/>
      <c r="R38" s="182"/>
      <c r="T38" s="129">
        <f t="shared" si="4"/>
        <v>0.001963495408493621</v>
      </c>
    </row>
    <row r="39" spans="1:20" ht="13.5">
      <c r="A39" s="18"/>
      <c r="B39" s="13"/>
      <c r="C39" s="13" t="s">
        <v>177</v>
      </c>
      <c r="D39" s="13"/>
      <c r="E39" s="30"/>
      <c r="F39" s="178">
        <v>25</v>
      </c>
      <c r="G39" s="174">
        <v>1</v>
      </c>
      <c r="H39" s="145">
        <v>0.6</v>
      </c>
      <c r="I39" s="146">
        <v>1</v>
      </c>
      <c r="J39" s="196">
        <v>95</v>
      </c>
      <c r="K39" s="192">
        <f>ROUND((I39*J39)/1000,2)</f>
        <v>0.1</v>
      </c>
      <c r="L39" s="194"/>
      <c r="M39" s="193">
        <f>SUM(K39:L39)</f>
        <v>0.1</v>
      </c>
      <c r="N39" s="207"/>
      <c r="O39" s="213"/>
      <c r="P39" s="181"/>
      <c r="Q39" s="181"/>
      <c r="R39" s="182"/>
      <c r="T39" s="129">
        <f t="shared" si="4"/>
        <v>0.001963495408493621</v>
      </c>
    </row>
    <row r="40" spans="1:20" ht="13.5">
      <c r="A40" s="18"/>
      <c r="B40" s="13"/>
      <c r="C40" s="13" t="s">
        <v>175</v>
      </c>
      <c r="D40" s="13"/>
      <c r="E40" s="30"/>
      <c r="F40" s="173">
        <v>25</v>
      </c>
      <c r="G40" s="174">
        <v>1</v>
      </c>
      <c r="H40" s="145">
        <v>0.6</v>
      </c>
      <c r="I40" s="145">
        <v>1</v>
      </c>
      <c r="J40" s="196">
        <v>95</v>
      </c>
      <c r="K40" s="192">
        <f>ROUND((I40*J40)/1000,2)</f>
        <v>0.1</v>
      </c>
      <c r="L40" s="192"/>
      <c r="M40" s="193">
        <f>SUM(K40:L40)</f>
        <v>0.1</v>
      </c>
      <c r="N40" s="206"/>
      <c r="O40" s="212"/>
      <c r="P40" s="208"/>
      <c r="Q40" s="175"/>
      <c r="R40" s="176"/>
      <c r="T40" s="129">
        <f t="shared" si="4"/>
        <v>0.001963495408493621</v>
      </c>
    </row>
    <row r="41" spans="1:20" ht="13.5">
      <c r="A41" s="18"/>
      <c r="B41" s="13"/>
      <c r="C41" s="13"/>
      <c r="D41" s="13"/>
      <c r="E41" s="30"/>
      <c r="F41" s="173"/>
      <c r="G41" s="174"/>
      <c r="H41" s="145"/>
      <c r="I41" s="145"/>
      <c r="J41" s="191"/>
      <c r="K41" s="192"/>
      <c r="L41" s="192"/>
      <c r="M41" s="193"/>
      <c r="N41" s="206"/>
      <c r="O41" s="212"/>
      <c r="P41" s="175"/>
      <c r="Q41" s="175"/>
      <c r="R41" s="176"/>
      <c r="T41" s="129">
        <f t="shared" si="4"/>
      </c>
    </row>
    <row r="42" spans="1:20" ht="13.5">
      <c r="A42" s="18" t="s">
        <v>176</v>
      </c>
      <c r="B42" s="13" t="s">
        <v>172</v>
      </c>
      <c r="C42" s="13" t="s">
        <v>178</v>
      </c>
      <c r="D42" s="13"/>
      <c r="E42" s="30"/>
      <c r="F42" s="173"/>
      <c r="G42" s="174"/>
      <c r="H42" s="145"/>
      <c r="I42" s="145"/>
      <c r="J42" s="191"/>
      <c r="K42" s="192"/>
      <c r="L42" s="192"/>
      <c r="M42" s="193"/>
      <c r="N42" s="206"/>
      <c r="O42" s="212"/>
      <c r="P42" s="175"/>
      <c r="Q42" s="175"/>
      <c r="R42" s="176"/>
      <c r="T42" s="129">
        <f t="shared" si="4"/>
      </c>
    </row>
    <row r="43" spans="1:20" ht="13.5">
      <c r="A43" s="18"/>
      <c r="B43" s="13"/>
      <c r="C43" s="13" t="s">
        <v>174</v>
      </c>
      <c r="D43" s="13"/>
      <c r="E43" s="30"/>
      <c r="F43" s="183">
        <v>20</v>
      </c>
      <c r="G43" s="184"/>
      <c r="H43" s="147">
        <v>0.33</v>
      </c>
      <c r="I43" s="145">
        <v>4.5</v>
      </c>
      <c r="J43" s="197">
        <v>79</v>
      </c>
      <c r="K43" s="192">
        <f aca="true" t="shared" si="5" ref="K43:K48">ROUND((I43*J43)/1000,2)</f>
        <v>0.36</v>
      </c>
      <c r="L43" s="198">
        <v>-0.9</v>
      </c>
      <c r="M43" s="193">
        <f aca="true" t="shared" si="6" ref="M43:M48">SUM(K43:L43)</f>
        <v>-0.54</v>
      </c>
      <c r="N43" s="209"/>
      <c r="O43" s="212">
        <f>(4/T43)*H43/1000</f>
        <v>1.0504226244065094</v>
      </c>
      <c r="P43" s="175"/>
      <c r="Q43" s="175"/>
      <c r="R43" s="176"/>
      <c r="T43" s="129">
        <f t="shared" si="4"/>
        <v>0.0012566370614359172</v>
      </c>
    </row>
    <row r="44" spans="1:20" ht="13.5">
      <c r="A44" s="18"/>
      <c r="B44" s="13"/>
      <c r="C44" s="13" t="s">
        <v>177</v>
      </c>
      <c r="D44" s="13"/>
      <c r="E44" s="30"/>
      <c r="F44" s="183" t="s">
        <v>179</v>
      </c>
      <c r="G44" s="184">
        <v>1</v>
      </c>
      <c r="H44" s="147">
        <v>0.33</v>
      </c>
      <c r="I44" s="145">
        <v>0.5</v>
      </c>
      <c r="J44" s="197">
        <v>79</v>
      </c>
      <c r="K44" s="192">
        <f t="shared" si="5"/>
        <v>0.04</v>
      </c>
      <c r="L44" s="198"/>
      <c r="M44" s="193">
        <f t="shared" si="6"/>
        <v>0.04</v>
      </c>
      <c r="N44" s="206"/>
      <c r="O44" s="212"/>
      <c r="P44" s="175"/>
      <c r="Q44" s="175"/>
      <c r="R44" s="176"/>
      <c r="T44" s="129" t="e">
        <f t="shared" si="4"/>
        <v>#VALUE!</v>
      </c>
    </row>
    <row r="45" spans="1:20" ht="13.5">
      <c r="A45" s="18"/>
      <c r="B45" s="13"/>
      <c r="C45" s="13" t="s">
        <v>65</v>
      </c>
      <c r="D45" s="13"/>
      <c r="E45" s="30"/>
      <c r="F45" s="183">
        <v>20</v>
      </c>
      <c r="G45" s="184">
        <v>1</v>
      </c>
      <c r="H45" s="147">
        <v>0.33</v>
      </c>
      <c r="I45" s="147">
        <v>0.5</v>
      </c>
      <c r="J45" s="197">
        <v>79</v>
      </c>
      <c r="K45" s="192">
        <f t="shared" si="5"/>
        <v>0.04</v>
      </c>
      <c r="L45" s="198"/>
      <c r="M45" s="193">
        <f t="shared" si="6"/>
        <v>0.04</v>
      </c>
      <c r="N45" s="206"/>
      <c r="O45" s="212"/>
      <c r="P45" s="175"/>
      <c r="Q45" s="175"/>
      <c r="R45" s="176"/>
      <c r="T45" s="129">
        <f t="shared" si="4"/>
        <v>0.0012566370614359172</v>
      </c>
    </row>
    <row r="46" spans="1:20" ht="13.5">
      <c r="A46" s="18"/>
      <c r="B46" s="13"/>
      <c r="C46" s="13" t="s">
        <v>147</v>
      </c>
      <c r="D46" s="13"/>
      <c r="E46" s="30"/>
      <c r="F46" s="183">
        <v>20</v>
      </c>
      <c r="G46" s="184">
        <v>1</v>
      </c>
      <c r="H46" s="147">
        <v>0.33</v>
      </c>
      <c r="I46" s="147">
        <v>8.5</v>
      </c>
      <c r="J46" s="197">
        <v>79</v>
      </c>
      <c r="K46" s="192">
        <f t="shared" si="5"/>
        <v>0.67</v>
      </c>
      <c r="L46" s="198"/>
      <c r="M46" s="193">
        <f t="shared" si="6"/>
        <v>0.67</v>
      </c>
      <c r="N46" s="209"/>
      <c r="O46" s="212"/>
      <c r="P46" s="175"/>
      <c r="Q46" s="175"/>
      <c r="R46" s="176"/>
      <c r="T46" s="129">
        <f t="shared" si="4"/>
        <v>0.0012566370614359172</v>
      </c>
    </row>
    <row r="47" spans="1:20" ht="13.5">
      <c r="A47" s="18"/>
      <c r="B47" s="13"/>
      <c r="C47" s="13" t="s">
        <v>133</v>
      </c>
      <c r="D47" s="13"/>
      <c r="E47" s="30"/>
      <c r="F47" s="183">
        <v>20</v>
      </c>
      <c r="G47" s="184">
        <v>1</v>
      </c>
      <c r="H47" s="147">
        <v>0.33</v>
      </c>
      <c r="I47" s="147">
        <v>8</v>
      </c>
      <c r="J47" s="197">
        <v>79</v>
      </c>
      <c r="K47" s="192">
        <f t="shared" si="5"/>
        <v>0.63</v>
      </c>
      <c r="L47" s="198"/>
      <c r="M47" s="193">
        <f t="shared" si="6"/>
        <v>0.63</v>
      </c>
      <c r="N47" s="209"/>
      <c r="O47" s="212"/>
      <c r="P47" s="175"/>
      <c r="Q47" s="175"/>
      <c r="R47" s="185"/>
      <c r="T47" s="129">
        <f t="shared" si="4"/>
        <v>0.0012566370614359172</v>
      </c>
    </row>
    <row r="48" spans="1:20" ht="13.5">
      <c r="A48" s="18"/>
      <c r="B48" s="13"/>
      <c r="C48" s="13" t="s">
        <v>135</v>
      </c>
      <c r="D48" s="13"/>
      <c r="E48" s="30"/>
      <c r="F48" s="183">
        <v>20</v>
      </c>
      <c r="G48" s="184">
        <v>8</v>
      </c>
      <c r="H48" s="147">
        <v>0.33</v>
      </c>
      <c r="I48" s="147">
        <v>4</v>
      </c>
      <c r="J48" s="197">
        <v>79</v>
      </c>
      <c r="K48" s="192">
        <f t="shared" si="5"/>
        <v>0.32</v>
      </c>
      <c r="L48" s="198"/>
      <c r="M48" s="193">
        <f t="shared" si="6"/>
        <v>0.32</v>
      </c>
      <c r="N48" s="209"/>
      <c r="O48" s="212"/>
      <c r="P48" s="175"/>
      <c r="Q48" s="175"/>
      <c r="R48" s="186"/>
      <c r="T48" s="129">
        <f t="shared" si="4"/>
        <v>0.0012566370614359172</v>
      </c>
    </row>
    <row r="49" spans="1:20" ht="13.5">
      <c r="A49" s="18"/>
      <c r="B49" s="13"/>
      <c r="C49" s="13"/>
      <c r="D49" s="13"/>
      <c r="E49" s="30"/>
      <c r="F49" s="183"/>
      <c r="G49" s="184"/>
      <c r="H49" s="147"/>
      <c r="I49" s="147"/>
      <c r="J49" s="197"/>
      <c r="K49" s="199"/>
      <c r="L49" s="198"/>
      <c r="M49" s="92"/>
      <c r="N49" s="210"/>
      <c r="O49" s="212"/>
      <c r="P49" s="175"/>
      <c r="Q49" s="175"/>
      <c r="R49" s="176"/>
      <c r="T49" s="129">
        <f t="shared" si="4"/>
      </c>
    </row>
    <row r="50" spans="1:20" ht="13.5">
      <c r="A50" s="18" t="s">
        <v>146</v>
      </c>
      <c r="B50" s="13" t="s">
        <v>47</v>
      </c>
      <c r="C50" s="13" t="s">
        <v>49</v>
      </c>
      <c r="D50" s="13"/>
      <c r="E50" s="30"/>
      <c r="F50" s="183"/>
      <c r="G50" s="184"/>
      <c r="H50" s="147"/>
      <c r="I50" s="147"/>
      <c r="J50" s="197"/>
      <c r="K50" s="199"/>
      <c r="L50" s="198"/>
      <c r="M50" s="92"/>
      <c r="N50" s="210"/>
      <c r="O50" s="212"/>
      <c r="P50" s="175"/>
      <c r="Q50" s="175"/>
      <c r="R50" s="176"/>
      <c r="T50" s="129">
        <f t="shared" si="4"/>
      </c>
    </row>
    <row r="51" spans="1:20" ht="13.5">
      <c r="A51" s="18"/>
      <c r="B51" s="13"/>
      <c r="C51" s="13" t="s">
        <v>180</v>
      </c>
      <c r="D51" s="13"/>
      <c r="E51" s="30"/>
      <c r="F51" s="183">
        <v>20</v>
      </c>
      <c r="G51" s="184"/>
      <c r="H51" s="147">
        <v>0.33</v>
      </c>
      <c r="I51" s="147">
        <v>2.1</v>
      </c>
      <c r="J51" s="197">
        <v>79</v>
      </c>
      <c r="K51" s="192">
        <f>ROUND((I51*J51)/1000,2)</f>
        <v>0.17</v>
      </c>
      <c r="L51" s="198"/>
      <c r="M51" s="193">
        <f>SUM(K51:L51)</f>
        <v>0.17</v>
      </c>
      <c r="N51" s="210"/>
      <c r="O51" s="212">
        <f>(4/T51)*H51/1000</f>
        <v>1.0504226244065094</v>
      </c>
      <c r="P51" s="175"/>
      <c r="Q51" s="175"/>
      <c r="R51" s="176"/>
      <c r="T51" s="129">
        <f t="shared" si="4"/>
        <v>0.0012566370614359172</v>
      </c>
    </row>
    <row r="52" spans="1:20" ht="13.5">
      <c r="A52" s="18"/>
      <c r="B52" s="13"/>
      <c r="C52" s="13" t="s">
        <v>137</v>
      </c>
      <c r="D52" s="13"/>
      <c r="E52" s="30"/>
      <c r="F52" s="173">
        <v>20</v>
      </c>
      <c r="G52" s="174">
        <v>1</v>
      </c>
      <c r="H52" s="147">
        <v>0.33</v>
      </c>
      <c r="I52" s="145">
        <v>0.5</v>
      </c>
      <c r="J52" s="197">
        <v>79</v>
      </c>
      <c r="K52" s="192">
        <f>ROUND((I52*J52)/1000,2)</f>
        <v>0.04</v>
      </c>
      <c r="L52" s="192"/>
      <c r="M52" s="193">
        <f>SUM(K52:L52)</f>
        <v>0.04</v>
      </c>
      <c r="N52" s="206"/>
      <c r="O52" s="212"/>
      <c r="P52" s="175"/>
      <c r="Q52" s="175"/>
      <c r="R52" s="176"/>
      <c r="T52" s="129">
        <f t="shared" si="4"/>
        <v>0.0012566370614359172</v>
      </c>
    </row>
    <row r="53" spans="1:20" ht="13.5">
      <c r="A53" s="18"/>
      <c r="B53" s="13"/>
      <c r="C53" s="107"/>
      <c r="D53" s="13"/>
      <c r="E53" s="30"/>
      <c r="F53" s="173"/>
      <c r="G53" s="174"/>
      <c r="H53" s="145"/>
      <c r="I53" s="146"/>
      <c r="J53" s="191"/>
      <c r="K53" s="192"/>
      <c r="L53" s="192"/>
      <c r="M53" s="193"/>
      <c r="N53" s="206"/>
      <c r="O53" s="212"/>
      <c r="P53" s="175"/>
      <c r="Q53" s="175"/>
      <c r="R53" s="176"/>
      <c r="T53" s="129">
        <f t="shared" si="4"/>
      </c>
    </row>
    <row r="54" spans="1:20" ht="13.5">
      <c r="A54" s="18" t="s">
        <v>49</v>
      </c>
      <c r="B54" s="13" t="s">
        <v>47</v>
      </c>
      <c r="C54" s="13" t="s">
        <v>123</v>
      </c>
      <c r="D54" s="13"/>
      <c r="E54" s="30"/>
      <c r="F54" s="173"/>
      <c r="G54" s="174"/>
      <c r="H54" s="145"/>
      <c r="I54" s="146"/>
      <c r="J54" s="191"/>
      <c r="K54" s="192"/>
      <c r="L54" s="192"/>
      <c r="M54" s="193"/>
      <c r="N54" s="206"/>
      <c r="O54" s="212"/>
      <c r="P54" s="175"/>
      <c r="Q54" s="175"/>
      <c r="R54" s="180"/>
      <c r="T54" s="129">
        <f t="shared" si="4"/>
      </c>
    </row>
    <row r="55" spans="1:20" ht="13.5">
      <c r="A55" s="18"/>
      <c r="B55" s="13"/>
      <c r="C55" s="13" t="s">
        <v>180</v>
      </c>
      <c r="D55" s="13"/>
      <c r="E55" s="30"/>
      <c r="F55" s="173">
        <v>20</v>
      </c>
      <c r="G55" s="174"/>
      <c r="H55" s="145">
        <v>0.13</v>
      </c>
      <c r="I55" s="146">
        <v>4.5</v>
      </c>
      <c r="J55" s="191">
        <v>17</v>
      </c>
      <c r="K55" s="192">
        <f>ROUND((I55*J55)/1000,2)</f>
        <v>0.08</v>
      </c>
      <c r="L55" s="192">
        <v>1.4</v>
      </c>
      <c r="M55" s="193">
        <f>SUM(K55:L55)</f>
        <v>1.48</v>
      </c>
      <c r="N55" s="206"/>
      <c r="O55" s="212">
        <f>(4/T55)*H55/1000</f>
        <v>0.4138028520389279</v>
      </c>
      <c r="P55" s="175"/>
      <c r="Q55" s="175"/>
      <c r="R55" s="180"/>
      <c r="T55" s="129">
        <f t="shared" si="4"/>
        <v>0.0012566370614359172</v>
      </c>
    </row>
    <row r="56" spans="1:20" ht="13.5">
      <c r="A56" s="18"/>
      <c r="B56" s="13"/>
      <c r="C56" s="13" t="s">
        <v>145</v>
      </c>
      <c r="D56" s="13"/>
      <c r="E56" s="30"/>
      <c r="F56" s="173" t="s">
        <v>149</v>
      </c>
      <c r="G56" s="174">
        <v>1</v>
      </c>
      <c r="H56" s="145">
        <v>0.13</v>
      </c>
      <c r="I56" s="146">
        <v>0.5</v>
      </c>
      <c r="J56" s="191">
        <v>17</v>
      </c>
      <c r="K56" s="192">
        <f>ROUND((I56*J56)/1000,2)</f>
        <v>0.01</v>
      </c>
      <c r="L56" s="192"/>
      <c r="M56" s="193">
        <f>SUM(K56:L56)</f>
        <v>0.01</v>
      </c>
      <c r="N56" s="206"/>
      <c r="O56" s="212"/>
      <c r="P56" s="175"/>
      <c r="Q56" s="175"/>
      <c r="R56" s="180"/>
      <c r="T56" s="129" t="e">
        <f t="shared" si="4"/>
        <v>#VALUE!</v>
      </c>
    </row>
    <row r="57" spans="1:20" ht="13.5">
      <c r="A57" s="18"/>
      <c r="B57" s="13"/>
      <c r="C57" s="13" t="s">
        <v>135</v>
      </c>
      <c r="D57" s="13"/>
      <c r="E57" s="30"/>
      <c r="F57" s="173">
        <v>20</v>
      </c>
      <c r="G57" s="174">
        <v>5</v>
      </c>
      <c r="H57" s="145">
        <v>0.13</v>
      </c>
      <c r="I57" s="146">
        <v>2.5</v>
      </c>
      <c r="J57" s="191">
        <v>17</v>
      </c>
      <c r="K57" s="192">
        <f>ROUND((I57*J57)/1000,2)</f>
        <v>0.04</v>
      </c>
      <c r="L57" s="192"/>
      <c r="M57" s="193">
        <f>SUM(K57:L57)</f>
        <v>0.04</v>
      </c>
      <c r="N57" s="206"/>
      <c r="O57" s="212"/>
      <c r="P57" s="175"/>
      <c r="Q57" s="175"/>
      <c r="R57" s="180"/>
      <c r="T57" s="129">
        <f t="shared" si="4"/>
        <v>0.0012566370614359172</v>
      </c>
    </row>
    <row r="58" spans="1:20" ht="13.5">
      <c r="A58" s="18"/>
      <c r="B58" s="13"/>
      <c r="C58" s="13" t="s">
        <v>148</v>
      </c>
      <c r="D58" s="13"/>
      <c r="E58" s="30"/>
      <c r="F58" s="173">
        <v>13</v>
      </c>
      <c r="G58" s="174">
        <v>1</v>
      </c>
      <c r="H58" s="145">
        <v>0.13</v>
      </c>
      <c r="I58" s="216">
        <v>3</v>
      </c>
      <c r="J58" s="191">
        <v>113</v>
      </c>
      <c r="K58" s="192">
        <f>ROUND((I58*J58)/1000,2)</f>
        <v>0.34</v>
      </c>
      <c r="L58" s="192"/>
      <c r="M58" s="193">
        <f>SUM(K58:L58)</f>
        <v>0.34</v>
      </c>
      <c r="N58" s="206"/>
      <c r="O58" s="212"/>
      <c r="P58" s="175"/>
      <c r="Q58" s="175"/>
      <c r="R58" s="180"/>
      <c r="T58" s="129">
        <f t="shared" si="4"/>
        <v>0.0005309291584566749</v>
      </c>
    </row>
    <row r="59" spans="1:20" ht="13.5">
      <c r="A59" s="18"/>
      <c r="B59" s="13"/>
      <c r="C59" s="13"/>
      <c r="D59" s="13"/>
      <c r="E59" s="30"/>
      <c r="F59" s="173"/>
      <c r="G59" s="174"/>
      <c r="H59" s="145"/>
      <c r="I59" s="216"/>
      <c r="J59" s="191"/>
      <c r="K59" s="192"/>
      <c r="L59" s="192"/>
      <c r="M59" s="193"/>
      <c r="N59" s="206"/>
      <c r="O59" s="212"/>
      <c r="P59" s="175"/>
      <c r="Q59" s="175"/>
      <c r="R59" s="180"/>
      <c r="T59" s="129">
        <f t="shared" si="4"/>
      </c>
    </row>
    <row r="60" spans="1:20" ht="13.5">
      <c r="A60" s="18"/>
      <c r="B60" s="13"/>
      <c r="C60" s="13"/>
      <c r="D60" s="13"/>
      <c r="E60" s="30"/>
      <c r="F60" s="173"/>
      <c r="G60" s="174"/>
      <c r="H60" s="145"/>
      <c r="I60" s="216"/>
      <c r="J60" s="191"/>
      <c r="K60" s="192"/>
      <c r="L60" s="192"/>
      <c r="M60" s="193"/>
      <c r="N60" s="206"/>
      <c r="O60" s="212"/>
      <c r="P60" s="175"/>
      <c r="Q60" s="175"/>
      <c r="R60" s="180"/>
      <c r="T60" s="129">
        <f t="shared" si="4"/>
      </c>
    </row>
    <row r="61" spans="1:20" ht="13.5">
      <c r="A61" s="20"/>
      <c r="B61" s="12"/>
      <c r="C61" s="13" t="s">
        <v>119</v>
      </c>
      <c r="D61" s="13"/>
      <c r="E61" s="30"/>
      <c r="F61" s="173"/>
      <c r="G61" s="174"/>
      <c r="H61" s="216"/>
      <c r="I61" s="216"/>
      <c r="J61" s="191"/>
      <c r="K61" s="192"/>
      <c r="L61" s="192">
        <f>SUM(L20:L60)</f>
        <v>9.2</v>
      </c>
      <c r="M61" s="192">
        <f>SUM(M20:M60)</f>
        <v>17.639999999999993</v>
      </c>
      <c r="N61" s="217"/>
      <c r="O61" s="212"/>
      <c r="P61" s="175"/>
      <c r="Q61" s="175"/>
      <c r="R61" s="180"/>
      <c r="T61" s="129">
        <f t="shared" si="4"/>
      </c>
    </row>
    <row r="62" spans="1:20" ht="13.5">
      <c r="A62" s="20"/>
      <c r="B62" s="12"/>
      <c r="C62" s="13"/>
      <c r="D62" s="13"/>
      <c r="E62" s="30"/>
      <c r="F62" s="173"/>
      <c r="G62" s="174"/>
      <c r="H62" s="216"/>
      <c r="I62" s="216"/>
      <c r="J62" s="191"/>
      <c r="K62" s="192"/>
      <c r="L62" s="192"/>
      <c r="M62" s="192"/>
      <c r="N62" s="217"/>
      <c r="O62" s="212"/>
      <c r="P62" s="175"/>
      <c r="Q62" s="175"/>
      <c r="R62" s="185"/>
      <c r="T62" s="129">
        <f t="shared" si="4"/>
      </c>
    </row>
    <row r="63" spans="1:20" ht="13.5">
      <c r="A63" s="20"/>
      <c r="B63" s="12"/>
      <c r="C63" s="13" t="s">
        <v>121</v>
      </c>
      <c r="D63" s="13"/>
      <c r="E63" s="30"/>
      <c r="F63" s="218"/>
      <c r="G63" s="174"/>
      <c r="H63" s="216"/>
      <c r="I63" s="216"/>
      <c r="J63" s="191"/>
      <c r="K63" s="192"/>
      <c r="L63" s="192"/>
      <c r="M63" s="192"/>
      <c r="N63" s="217"/>
      <c r="O63" s="212"/>
      <c r="P63" s="175"/>
      <c r="Q63" s="175"/>
      <c r="R63" s="186"/>
      <c r="T63" s="129">
        <f t="shared" si="4"/>
      </c>
    </row>
    <row r="64" spans="1:20" ht="13.5">
      <c r="A64" s="20"/>
      <c r="B64" s="12"/>
      <c r="C64" s="13"/>
      <c r="D64" s="13"/>
      <c r="E64" s="30"/>
      <c r="F64" s="219"/>
      <c r="G64" s="174"/>
      <c r="H64" s="216"/>
      <c r="I64" s="216"/>
      <c r="J64" s="191"/>
      <c r="K64" s="192"/>
      <c r="L64" s="192"/>
      <c r="M64" s="192"/>
      <c r="N64" s="217"/>
      <c r="O64" s="212"/>
      <c r="P64" s="175"/>
      <c r="Q64" s="175"/>
      <c r="R64" s="180"/>
      <c r="T64" s="129">
        <f>IF(F64&gt;0,PI()*(F64/1000)^2,"")</f>
      </c>
    </row>
    <row r="65" spans="1:20" ht="14.25" thickBot="1">
      <c r="A65" s="20"/>
      <c r="B65" s="12"/>
      <c r="C65" s="111" t="s">
        <v>70</v>
      </c>
      <c r="D65" s="13"/>
      <c r="E65" s="31"/>
      <c r="F65" s="220"/>
      <c r="G65" s="221"/>
      <c r="H65" s="222"/>
      <c r="I65" s="222"/>
      <c r="J65" s="223"/>
      <c r="K65" s="200"/>
      <c r="L65" s="224"/>
      <c r="M65" s="204">
        <f>SUM(M61:M64)</f>
        <v>17.639999999999993</v>
      </c>
      <c r="N65" s="225"/>
      <c r="O65" s="226"/>
      <c r="P65" s="485"/>
      <c r="Q65" s="485"/>
      <c r="R65" s="486"/>
      <c r="T65" s="300" t="s">
        <v>72</v>
      </c>
    </row>
    <row r="66" spans="1:20" ht="14.25" thickBot="1">
      <c r="A66" s="489" t="s">
        <v>37</v>
      </c>
      <c r="B66" s="490"/>
      <c r="C66" s="490"/>
      <c r="D66" s="490"/>
      <c r="E66" s="491"/>
      <c r="F66" s="121">
        <f>+M65</f>
        <v>17.639999999999993</v>
      </c>
      <c r="G66" s="32" t="s">
        <v>112</v>
      </c>
      <c r="H66" s="122">
        <f>ROUND(F66*0.0098,2)</f>
        <v>0.17</v>
      </c>
      <c r="I66" s="32" t="str">
        <f>IF(J66&gt;H66,"&gt;","&lt;")</f>
        <v>&gt;</v>
      </c>
      <c r="J66" s="148">
        <v>0.25</v>
      </c>
      <c r="K66" s="155" t="s">
        <v>37</v>
      </c>
      <c r="L66" s="492" t="str">
        <f>25.5&amp;"-"&amp;M65</f>
        <v>25.5-17.64</v>
      </c>
      <c r="M66" s="492"/>
      <c r="N66" s="156" t="s">
        <v>181</v>
      </c>
      <c r="O66" s="157">
        <f>25.5-F66</f>
        <v>7.8600000000000065</v>
      </c>
      <c r="P66" s="157"/>
      <c r="Q66" s="157"/>
      <c r="R66" s="158"/>
      <c r="T66" s="304" t="str">
        <f>IF(I66="&gt;","OK!","×")</f>
        <v>OK!</v>
      </c>
    </row>
    <row r="67" spans="1:18" ht="13.5">
      <c r="A67" s="20"/>
      <c r="B67" s="12"/>
      <c r="C67" s="12"/>
      <c r="D67" s="12"/>
      <c r="E67" s="12"/>
      <c r="F67" s="13"/>
      <c r="G67" s="13"/>
      <c r="H67" s="13"/>
      <c r="I67" s="13"/>
      <c r="J67" s="138"/>
      <c r="K67" s="138"/>
      <c r="L67" s="138"/>
      <c r="M67" s="138"/>
      <c r="N67" s="138"/>
      <c r="O67" s="138"/>
      <c r="P67" s="138"/>
      <c r="Q67" s="138"/>
      <c r="R67" s="149"/>
    </row>
    <row r="68" spans="1:18" ht="13.5">
      <c r="A68" s="489" t="s">
        <v>32</v>
      </c>
      <c r="B68" s="490"/>
      <c r="C68" s="490"/>
      <c r="D68" s="490"/>
      <c r="E68" s="490"/>
      <c r="F68" s="490"/>
      <c r="G68" s="310">
        <v>0.25</v>
      </c>
      <c r="H68" s="150" t="s">
        <v>182</v>
      </c>
      <c r="I68" s="311">
        <v>4</v>
      </c>
      <c r="J68" s="150" t="s">
        <v>182</v>
      </c>
      <c r="K68" s="312">
        <v>12</v>
      </c>
      <c r="L68" s="150" t="s">
        <v>183</v>
      </c>
      <c r="M68" s="313">
        <f>+G68*I68*K68</f>
        <v>12</v>
      </c>
      <c r="N68" s="24" t="s">
        <v>184</v>
      </c>
      <c r="O68" s="24"/>
      <c r="P68" s="24"/>
      <c r="Q68" s="24"/>
      <c r="R68" s="151"/>
    </row>
    <row r="69" spans="1:18" ht="13.5">
      <c r="A69" s="487"/>
      <c r="B69" s="488"/>
      <c r="C69" s="488"/>
      <c r="D69" s="488"/>
      <c r="E69" s="488"/>
      <c r="F69" s="488"/>
      <c r="G69" s="13"/>
      <c r="H69" s="16"/>
      <c r="I69" s="16"/>
      <c r="J69" s="138"/>
      <c r="K69" s="138"/>
      <c r="L69" s="138"/>
      <c r="M69" s="138"/>
      <c r="N69" s="138"/>
      <c r="O69" s="138"/>
      <c r="P69" s="138"/>
      <c r="Q69" s="138"/>
      <c r="R69" s="149"/>
    </row>
    <row r="70" spans="1:18" ht="13.5">
      <c r="A70" s="21"/>
      <c r="B70" s="22"/>
      <c r="C70" s="22"/>
      <c r="D70" s="22"/>
      <c r="E70" s="22"/>
      <c r="F70" s="23"/>
      <c r="G70" s="23"/>
      <c r="H70" s="24"/>
      <c r="I70" s="24"/>
      <c r="J70" s="150"/>
      <c r="K70" s="150"/>
      <c r="L70" s="150"/>
      <c r="M70" s="150"/>
      <c r="N70" s="150"/>
      <c r="O70" s="150"/>
      <c r="P70" s="150"/>
      <c r="Q70" s="150"/>
      <c r="R70" s="151"/>
    </row>
    <row r="71" spans="11:12" ht="13.5">
      <c r="K71" s="152"/>
      <c r="L71" s="152"/>
    </row>
    <row r="72" spans="11:12" ht="13.5">
      <c r="K72" s="152"/>
      <c r="L72" s="152"/>
    </row>
    <row r="73" spans="11:12" ht="13.5">
      <c r="K73" s="10"/>
      <c r="L73" s="10"/>
    </row>
    <row r="74" spans="11:12" ht="13.5">
      <c r="K74" s="10"/>
      <c r="L74" s="10"/>
    </row>
    <row r="75" spans="11:12" ht="13.5">
      <c r="K75" s="10"/>
      <c r="L75" s="10"/>
    </row>
    <row r="76" spans="11:12" ht="13.5">
      <c r="K76" s="10"/>
      <c r="L76" s="10"/>
    </row>
    <row r="77" spans="11:12" ht="13.5">
      <c r="K77" s="10"/>
      <c r="L77" s="10"/>
    </row>
    <row r="78" spans="11:12" ht="13.5">
      <c r="K78" s="10"/>
      <c r="L78" s="10"/>
    </row>
    <row r="79" spans="11:12" ht="13.5">
      <c r="K79" s="10"/>
      <c r="L79" s="10"/>
    </row>
    <row r="80" spans="11:12" ht="13.5">
      <c r="K80" s="10"/>
      <c r="L80" s="10"/>
    </row>
    <row r="81" spans="11:12" ht="13.5">
      <c r="K81" s="10"/>
      <c r="L81" s="10"/>
    </row>
    <row r="82" spans="11:12" ht="13.5">
      <c r="K82" s="10"/>
      <c r="L82" s="10"/>
    </row>
    <row r="83" spans="11:12" ht="13.5">
      <c r="K83" s="10"/>
      <c r="L83" s="10"/>
    </row>
  </sheetData>
  <sheetProtection/>
  <mergeCells count="9">
    <mergeCell ref="P65:R65"/>
    <mergeCell ref="A1:R1"/>
    <mergeCell ref="A18:E19"/>
    <mergeCell ref="A69:F69"/>
    <mergeCell ref="A66:E66"/>
    <mergeCell ref="L66:M66"/>
    <mergeCell ref="N18:O18"/>
    <mergeCell ref="N19:O19"/>
    <mergeCell ref="A68:F68"/>
  </mergeCells>
  <conditionalFormatting sqref="T66">
    <cfRule type="cellIs" priority="1" dxfId="13" operator="equal" stopIfTrue="1">
      <formula>"OK!"</formula>
    </cfRule>
    <cfRule type="cellIs" priority="2" dxfId="14" operator="equal" stopIfTrue="1">
      <formula>"×"</formula>
    </cfRule>
  </conditionalFormatting>
  <printOptions/>
  <pageMargins left="0.74" right="0.1968503937007874" top="0.6299212598425197" bottom="0.41" header="0.5118110236220472" footer="0.2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Zeros="0" zoomScale="70" zoomScaleNormal="70" zoomScaleSheetLayoutView="100" zoomScalePageLayoutView="0" workbookViewId="0" topLeftCell="A1">
      <selection activeCell="I72" sqref="I72"/>
    </sheetView>
  </sheetViews>
  <sheetFormatPr defaultColWidth="3.25390625" defaultRowHeight="13.5"/>
  <cols>
    <col min="1" max="1" width="4.25390625" style="4" customWidth="1"/>
    <col min="2" max="2" width="2.00390625" style="4" customWidth="1"/>
    <col min="3" max="3" width="6.125" style="4" customWidth="1"/>
    <col min="4" max="4" width="1.37890625" style="4" customWidth="1"/>
    <col min="5" max="5" width="6.125" style="4" customWidth="1"/>
    <col min="6" max="6" width="6.75390625" style="1" customWidth="1"/>
    <col min="7" max="7" width="6.625" style="1" customWidth="1"/>
    <col min="8" max="8" width="7.125" style="0" customWidth="1"/>
    <col min="9" max="9" width="8.375" style="0" customWidth="1"/>
    <col min="10" max="10" width="9.875" style="298" customWidth="1"/>
    <col min="11" max="11" width="8.00390625" style="0" customWidth="1"/>
    <col min="12" max="12" width="6.125" style="0" customWidth="1"/>
    <col min="13" max="13" width="12.25390625" style="0" customWidth="1"/>
    <col min="14" max="14" width="2.625" style="0" bestFit="1" customWidth="1"/>
    <col min="15" max="15" width="5.875" style="0" customWidth="1"/>
    <col min="16" max="16" width="5.375" style="0" customWidth="1"/>
    <col min="17" max="17" width="4.25390625" style="0" customWidth="1"/>
    <col min="18" max="18" width="3.375" style="0" customWidth="1"/>
    <col min="19" max="19" width="3.25390625" style="0" customWidth="1"/>
    <col min="20" max="20" width="5.50390625" style="300" customWidth="1"/>
    <col min="21" max="21" width="4.625" style="0" customWidth="1"/>
  </cols>
  <sheetData>
    <row r="1" spans="1:18" ht="17.25">
      <c r="A1" s="456" t="s">
        <v>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</row>
    <row r="2" spans="1:22" s="1" customFormat="1" ht="13.5">
      <c r="A2" s="20" t="s">
        <v>222</v>
      </c>
      <c r="B2" s="12"/>
      <c r="C2" s="13"/>
      <c r="D2" s="13"/>
      <c r="E2" s="13"/>
      <c r="F2" s="13"/>
      <c r="G2" s="13"/>
      <c r="H2" s="13"/>
      <c r="I2" s="13"/>
      <c r="J2" s="13"/>
      <c r="K2" s="118" t="s">
        <v>113</v>
      </c>
      <c r="L2" s="27"/>
      <c r="M2" s="114"/>
      <c r="N2" s="114"/>
      <c r="O2" s="114"/>
      <c r="P2" s="114"/>
      <c r="Q2" s="114"/>
      <c r="R2" s="115"/>
      <c r="S2" s="7"/>
      <c r="T2" s="301"/>
      <c r="V2" s="11"/>
    </row>
    <row r="3" spans="1:22" ht="13.5">
      <c r="A3" s="20"/>
      <c r="B3" s="12"/>
      <c r="C3" s="12"/>
      <c r="D3" s="12"/>
      <c r="E3" s="12"/>
      <c r="F3" s="13"/>
      <c r="G3" s="13"/>
      <c r="H3" s="16"/>
      <c r="I3" s="16"/>
      <c r="J3" s="231"/>
      <c r="K3" s="20" t="s">
        <v>114</v>
      </c>
      <c r="L3" s="13"/>
      <c r="M3" s="12"/>
      <c r="N3" s="12"/>
      <c r="O3" s="16"/>
      <c r="P3" s="16"/>
      <c r="Q3" s="16"/>
      <c r="R3" s="17"/>
      <c r="S3" s="1"/>
      <c r="V3" s="232"/>
    </row>
    <row r="4" spans="1:22" ht="13.5" customHeight="1">
      <c r="A4" s="67" t="s">
        <v>10</v>
      </c>
      <c r="B4" s="28"/>
      <c r="C4" s="28" t="s">
        <v>17</v>
      </c>
      <c r="D4" s="28"/>
      <c r="E4" s="13" t="s">
        <v>18</v>
      </c>
      <c r="F4" s="13"/>
      <c r="G4" s="14" t="s">
        <v>22</v>
      </c>
      <c r="H4" s="29" t="s">
        <v>8</v>
      </c>
      <c r="I4" s="233" t="s">
        <v>151</v>
      </c>
      <c r="J4" s="233" t="s">
        <v>152</v>
      </c>
      <c r="K4" s="20" t="s">
        <v>197</v>
      </c>
      <c r="L4" s="229"/>
      <c r="M4" s="229"/>
      <c r="N4" s="229"/>
      <c r="O4" s="229"/>
      <c r="P4" s="229"/>
      <c r="Q4" s="229"/>
      <c r="R4" s="230"/>
      <c r="V4" s="232"/>
    </row>
    <row r="5" spans="1:22" ht="19.5" customHeight="1">
      <c r="A5" s="18"/>
      <c r="B5" s="13"/>
      <c r="C5" s="13" t="s">
        <v>153</v>
      </c>
      <c r="D5" s="13"/>
      <c r="E5" s="12" t="s">
        <v>131</v>
      </c>
      <c r="F5" s="13"/>
      <c r="G5" s="65"/>
      <c r="H5" s="16"/>
      <c r="I5" s="234"/>
      <c r="J5" s="235">
        <f aca="true" t="shared" si="0" ref="J5:J10">+I5/60</f>
        <v>0</v>
      </c>
      <c r="K5" s="20" t="s">
        <v>198</v>
      </c>
      <c r="L5" s="229"/>
      <c r="M5" s="229"/>
      <c r="N5" s="229"/>
      <c r="O5" s="229"/>
      <c r="P5" s="229"/>
      <c r="Q5" s="229"/>
      <c r="R5" s="230"/>
      <c r="S5" s="1"/>
      <c r="V5" s="232"/>
    </row>
    <row r="6" spans="1:22" ht="13.5">
      <c r="A6" s="18"/>
      <c r="B6" s="13"/>
      <c r="C6" s="13" t="s">
        <v>208</v>
      </c>
      <c r="D6" s="13"/>
      <c r="E6" s="12" t="s">
        <v>20</v>
      </c>
      <c r="F6" s="13"/>
      <c r="G6" s="65" t="s">
        <v>188</v>
      </c>
      <c r="H6" s="16">
        <v>13</v>
      </c>
      <c r="I6" s="234">
        <v>12</v>
      </c>
      <c r="J6" s="235">
        <f t="shared" si="0"/>
        <v>0.2</v>
      </c>
      <c r="K6" s="20" t="s">
        <v>199</v>
      </c>
      <c r="L6" s="13"/>
      <c r="M6" s="12"/>
      <c r="N6" s="12"/>
      <c r="O6" s="16"/>
      <c r="P6" s="16"/>
      <c r="Q6" s="16"/>
      <c r="R6" s="17"/>
      <c r="V6" s="232"/>
    </row>
    <row r="7" spans="1:22" ht="13.5" customHeight="1">
      <c r="A7" s="18"/>
      <c r="B7" s="13"/>
      <c r="C7" s="13" t="s">
        <v>154</v>
      </c>
      <c r="D7" s="13"/>
      <c r="E7" s="12" t="s">
        <v>116</v>
      </c>
      <c r="F7" s="13"/>
      <c r="G7" s="65"/>
      <c r="H7" s="16">
        <v>13</v>
      </c>
      <c r="I7" s="234">
        <v>12</v>
      </c>
      <c r="J7" s="235">
        <f t="shared" si="0"/>
        <v>0.2</v>
      </c>
      <c r="K7" s="20" t="s">
        <v>200</v>
      </c>
      <c r="L7" s="12"/>
      <c r="M7" s="12"/>
      <c r="N7" s="12"/>
      <c r="O7" s="12"/>
      <c r="P7" s="12"/>
      <c r="Q7" s="12"/>
      <c r="R7" s="31"/>
      <c r="S7" s="1"/>
      <c r="V7" s="232"/>
    </row>
    <row r="8" spans="1:21" ht="13.5">
      <c r="A8" s="18"/>
      <c r="B8" s="13"/>
      <c r="C8" s="13" t="s">
        <v>209</v>
      </c>
      <c r="D8" s="13"/>
      <c r="E8" s="12" t="s">
        <v>124</v>
      </c>
      <c r="F8" s="13"/>
      <c r="G8" s="13"/>
      <c r="H8" s="16">
        <v>13</v>
      </c>
      <c r="I8" s="234">
        <v>8</v>
      </c>
      <c r="J8" s="235">
        <f t="shared" si="0"/>
        <v>0.13333333333333333</v>
      </c>
      <c r="K8" s="20"/>
      <c r="L8" s="12"/>
      <c r="M8" s="12"/>
      <c r="N8" s="12"/>
      <c r="O8" s="12"/>
      <c r="P8" s="12"/>
      <c r="Q8" s="12"/>
      <c r="R8" s="31"/>
      <c r="T8" s="305" t="s">
        <v>207</v>
      </c>
      <c r="U8" s="305"/>
    </row>
    <row r="9" spans="1:21" ht="13.5">
      <c r="A9" s="18"/>
      <c r="B9" s="13"/>
      <c r="C9" s="13" t="s">
        <v>230</v>
      </c>
      <c r="D9" s="13"/>
      <c r="E9" s="12" t="s">
        <v>115</v>
      </c>
      <c r="F9" s="13"/>
      <c r="G9" s="65"/>
      <c r="H9" s="16">
        <v>13</v>
      </c>
      <c r="I9" s="234">
        <v>20</v>
      </c>
      <c r="J9" s="235">
        <f t="shared" si="0"/>
        <v>0.3333333333333333</v>
      </c>
      <c r="K9" s="18" t="s">
        <v>157</v>
      </c>
      <c r="L9" s="164" t="s">
        <v>246</v>
      </c>
      <c r="M9" s="12"/>
      <c r="N9" s="107" t="s">
        <v>231</v>
      </c>
      <c r="O9" s="16" t="e">
        <f>[1]!textcalc(L9)</f>
        <v>#NAME?</v>
      </c>
      <c r="P9" s="165" t="s">
        <v>139</v>
      </c>
      <c r="Q9" s="163" t="e">
        <f aca="true" t="shared" si="1" ref="Q9:Q16">ROUND((O9/60),2)</f>
        <v>#NAME?</v>
      </c>
      <c r="R9" s="236" t="s">
        <v>232</v>
      </c>
      <c r="T9" s="305">
        <f>19*18^0.67</f>
        <v>131.76078675283605</v>
      </c>
      <c r="U9" s="305">
        <f aca="true" t="shared" si="2" ref="U9:U14">+T9/60</f>
        <v>2.1960131125472677</v>
      </c>
    </row>
    <row r="10" spans="1:21" ht="13.5">
      <c r="A10" s="18"/>
      <c r="B10" s="13"/>
      <c r="C10" s="13" t="s">
        <v>233</v>
      </c>
      <c r="D10" s="13"/>
      <c r="E10" s="12" t="s">
        <v>234</v>
      </c>
      <c r="F10" s="13"/>
      <c r="G10" s="65" t="s">
        <v>235</v>
      </c>
      <c r="H10" s="16">
        <v>13</v>
      </c>
      <c r="I10" s="234">
        <v>8</v>
      </c>
      <c r="J10" s="235">
        <f t="shared" si="0"/>
        <v>0.13333333333333333</v>
      </c>
      <c r="K10" s="18" t="s">
        <v>236</v>
      </c>
      <c r="L10" s="164" t="s">
        <v>247</v>
      </c>
      <c r="M10" s="12"/>
      <c r="N10" s="107" t="s">
        <v>231</v>
      </c>
      <c r="O10" s="16" t="e">
        <f>[1]!textcalc(L10)</f>
        <v>#NAME?</v>
      </c>
      <c r="P10" s="165" t="s">
        <v>139</v>
      </c>
      <c r="Q10" s="163" t="e">
        <f t="shared" si="1"/>
        <v>#NAME?</v>
      </c>
      <c r="R10" s="236" t="s">
        <v>232</v>
      </c>
      <c r="T10" s="305">
        <f>19*12^0.67</f>
        <v>100.4164897715819</v>
      </c>
      <c r="U10" s="305">
        <f t="shared" si="2"/>
        <v>1.6736081628596982</v>
      </c>
    </row>
    <row r="11" spans="1:21" ht="13.5">
      <c r="A11" s="18"/>
      <c r="B11" s="13"/>
      <c r="C11" s="13"/>
      <c r="D11" s="13"/>
      <c r="E11" s="12"/>
      <c r="F11" s="13"/>
      <c r="G11" s="65"/>
      <c r="H11" s="16"/>
      <c r="I11" s="16"/>
      <c r="J11" s="231"/>
      <c r="K11" s="18" t="s">
        <v>237</v>
      </c>
      <c r="L11" s="164" t="s">
        <v>202</v>
      </c>
      <c r="M11" s="16"/>
      <c r="N11" s="107" t="s">
        <v>231</v>
      </c>
      <c r="O11" s="16" t="e">
        <f>[1]!textcalc(L11)</f>
        <v>#NAME?</v>
      </c>
      <c r="P11" s="165" t="s">
        <v>139</v>
      </c>
      <c r="Q11" s="163" t="e">
        <f t="shared" si="1"/>
        <v>#NAME?</v>
      </c>
      <c r="R11" s="236" t="s">
        <v>232</v>
      </c>
      <c r="T11" s="305">
        <f>42*6^0.33</f>
        <v>75.86460536278405</v>
      </c>
      <c r="U11" s="305">
        <f t="shared" si="2"/>
        <v>1.264410089379734</v>
      </c>
    </row>
    <row r="12" spans="1:21" ht="13.5">
      <c r="A12" s="18"/>
      <c r="B12" s="13"/>
      <c r="C12" s="13"/>
      <c r="D12" s="13"/>
      <c r="E12" s="12"/>
      <c r="F12" s="13"/>
      <c r="G12" s="65"/>
      <c r="H12" s="228" t="s">
        <v>196</v>
      </c>
      <c r="I12" s="227">
        <f>AVERAGE(I6:I10)</f>
        <v>12</v>
      </c>
      <c r="J12" s="235">
        <f>+I12/60</f>
        <v>0.2</v>
      </c>
      <c r="K12" s="18" t="s">
        <v>238</v>
      </c>
      <c r="L12" s="164" t="s">
        <v>203</v>
      </c>
      <c r="M12" s="16"/>
      <c r="N12" s="107" t="s">
        <v>231</v>
      </c>
      <c r="O12" s="16" t="e">
        <f>[1]!textcalc(L12)</f>
        <v>#NAME?</v>
      </c>
      <c r="P12" s="165" t="s">
        <v>139</v>
      </c>
      <c r="Q12" s="163" t="e">
        <f t="shared" si="1"/>
        <v>#NAME?</v>
      </c>
      <c r="R12" s="236" t="s">
        <v>232</v>
      </c>
      <c r="T12" s="305">
        <f>42*4^0.33</f>
        <v>66.36347019652368</v>
      </c>
      <c r="U12" s="305">
        <f t="shared" si="2"/>
        <v>1.106057836608728</v>
      </c>
    </row>
    <row r="13" spans="1:21" ht="13.5">
      <c r="A13" s="18"/>
      <c r="B13" s="13"/>
      <c r="C13" s="12" t="s">
        <v>38</v>
      </c>
      <c r="D13" s="13"/>
      <c r="E13" s="12"/>
      <c r="F13" s="13"/>
      <c r="G13" s="13"/>
      <c r="H13" s="16"/>
      <c r="I13" s="16"/>
      <c r="J13" s="231"/>
      <c r="K13" s="18" t="s">
        <v>239</v>
      </c>
      <c r="L13" s="164" t="s">
        <v>227</v>
      </c>
      <c r="M13" s="16"/>
      <c r="N13" s="107" t="s">
        <v>231</v>
      </c>
      <c r="O13" s="16" t="e">
        <f>[1]!textcalc(L13)</f>
        <v>#NAME?</v>
      </c>
      <c r="P13" s="165" t="s">
        <v>139</v>
      </c>
      <c r="Q13" s="163" t="e">
        <f t="shared" si="1"/>
        <v>#NAME?</v>
      </c>
      <c r="R13" s="236" t="s">
        <v>232</v>
      </c>
      <c r="T13" s="305">
        <f>42*2^0.33</f>
        <v>52.79456172991679</v>
      </c>
      <c r="U13" s="305">
        <f t="shared" si="2"/>
        <v>0.8799093621652799</v>
      </c>
    </row>
    <row r="14" spans="1:21" ht="13.5">
      <c r="A14" s="20"/>
      <c r="B14" s="12"/>
      <c r="C14" s="12"/>
      <c r="D14" s="12"/>
      <c r="E14" s="12"/>
      <c r="F14" s="13"/>
      <c r="G14" s="13"/>
      <c r="H14" s="16"/>
      <c r="I14" s="16"/>
      <c r="J14" s="231"/>
      <c r="K14" s="18" t="s">
        <v>240</v>
      </c>
      <c r="L14" s="164" t="s">
        <v>241</v>
      </c>
      <c r="M14" s="16"/>
      <c r="N14" s="107" t="s">
        <v>231</v>
      </c>
      <c r="O14" s="16" t="e">
        <f>[1]!textcalc(L14)</f>
        <v>#NAME?</v>
      </c>
      <c r="P14" s="165" t="s">
        <v>139</v>
      </c>
      <c r="Q14" s="163" t="e">
        <f t="shared" si="1"/>
        <v>#NAME?</v>
      </c>
      <c r="R14" s="236" t="s">
        <v>232</v>
      </c>
      <c r="T14" s="306">
        <f>42*1^0.33</f>
        <v>42</v>
      </c>
      <c r="U14" s="305">
        <f t="shared" si="2"/>
        <v>0.7</v>
      </c>
    </row>
    <row r="15" spans="1:18" ht="13.5">
      <c r="A15" s="20"/>
      <c r="B15" s="12"/>
      <c r="C15" s="12"/>
      <c r="D15" s="12"/>
      <c r="E15" s="12"/>
      <c r="F15" s="13"/>
      <c r="G15" s="13"/>
      <c r="H15" s="16"/>
      <c r="I15" s="16"/>
      <c r="J15" s="231"/>
      <c r="K15" s="18" t="s">
        <v>242</v>
      </c>
      <c r="L15" s="164" t="s">
        <v>241</v>
      </c>
      <c r="M15" s="16"/>
      <c r="N15" s="107" t="s">
        <v>231</v>
      </c>
      <c r="O15" s="16" t="e">
        <f>[1]!textcalc(L15)</f>
        <v>#NAME?</v>
      </c>
      <c r="P15" s="165" t="s">
        <v>139</v>
      </c>
      <c r="Q15" s="163" t="e">
        <f t="shared" si="1"/>
        <v>#NAME?</v>
      </c>
      <c r="R15" s="236" t="s">
        <v>232</v>
      </c>
    </row>
    <row r="16" spans="1:18" ht="13.5">
      <c r="A16" s="20"/>
      <c r="B16" s="12"/>
      <c r="C16" s="12"/>
      <c r="D16" s="12"/>
      <c r="E16" s="12"/>
      <c r="F16" s="13"/>
      <c r="G16" s="13"/>
      <c r="H16" s="16"/>
      <c r="I16" s="16"/>
      <c r="J16" s="231"/>
      <c r="K16" s="18" t="s">
        <v>243</v>
      </c>
      <c r="L16" s="164" t="s">
        <v>244</v>
      </c>
      <c r="M16" s="16"/>
      <c r="N16" s="107" t="s">
        <v>231</v>
      </c>
      <c r="O16" s="16" t="e">
        <f>[1]!textcalc(L16)</f>
        <v>#NAME?</v>
      </c>
      <c r="P16" s="165" t="s">
        <v>139</v>
      </c>
      <c r="Q16" s="163" t="e">
        <f t="shared" si="1"/>
        <v>#NAME?</v>
      </c>
      <c r="R16" s="236" t="s">
        <v>232</v>
      </c>
    </row>
    <row r="17" spans="1:18" ht="13.5">
      <c r="A17" s="21" t="s">
        <v>34</v>
      </c>
      <c r="B17" s="22"/>
      <c r="C17" s="22"/>
      <c r="D17" s="22"/>
      <c r="E17" s="22"/>
      <c r="F17" s="23"/>
      <c r="G17" s="23"/>
      <c r="H17" s="24"/>
      <c r="I17" s="24"/>
      <c r="J17" s="237"/>
      <c r="K17" s="117"/>
      <c r="L17" s="24"/>
      <c r="M17" s="24"/>
      <c r="N17" s="24"/>
      <c r="O17" s="24"/>
      <c r="P17" s="24"/>
      <c r="Q17" s="24"/>
      <c r="R17" s="26"/>
    </row>
    <row r="18" spans="1:23" s="2" customFormat="1" ht="13.5">
      <c r="A18" s="459" t="s">
        <v>5</v>
      </c>
      <c r="B18" s="460"/>
      <c r="C18" s="460"/>
      <c r="D18" s="460"/>
      <c r="E18" s="461"/>
      <c r="F18" s="52" t="s">
        <v>7</v>
      </c>
      <c r="G18" s="53" t="s">
        <v>9</v>
      </c>
      <c r="H18" s="53" t="s">
        <v>0</v>
      </c>
      <c r="I18" s="53" t="s">
        <v>25</v>
      </c>
      <c r="J18" s="238" t="s">
        <v>26</v>
      </c>
      <c r="K18" s="53" t="s">
        <v>1</v>
      </c>
      <c r="L18" s="53" t="s">
        <v>51</v>
      </c>
      <c r="M18" s="55" t="s">
        <v>2</v>
      </c>
      <c r="N18" s="476" t="s">
        <v>150</v>
      </c>
      <c r="O18" s="477"/>
      <c r="P18" s="161"/>
      <c r="Q18" s="161"/>
      <c r="R18" s="160"/>
      <c r="S18" s="3"/>
      <c r="T18" s="302"/>
      <c r="U18" s="3"/>
      <c r="V18" s="3"/>
      <c r="W18" s="3"/>
    </row>
    <row r="19" spans="1:23" s="2" customFormat="1" ht="13.5">
      <c r="A19" s="462"/>
      <c r="B19" s="463"/>
      <c r="C19" s="463"/>
      <c r="D19" s="463"/>
      <c r="E19" s="464"/>
      <c r="F19" s="56" t="s">
        <v>163</v>
      </c>
      <c r="G19" s="57"/>
      <c r="H19" s="57" t="s">
        <v>28</v>
      </c>
      <c r="I19" s="57" t="s">
        <v>164</v>
      </c>
      <c r="J19" s="239" t="s">
        <v>31</v>
      </c>
      <c r="K19" s="240" t="s">
        <v>164</v>
      </c>
      <c r="L19" s="240" t="s">
        <v>164</v>
      </c>
      <c r="M19" s="60" t="s">
        <v>164</v>
      </c>
      <c r="N19" s="478" t="s">
        <v>165</v>
      </c>
      <c r="O19" s="479"/>
      <c r="P19" s="23"/>
      <c r="Q19" s="23"/>
      <c r="R19" s="159"/>
      <c r="S19" s="3"/>
      <c r="T19" s="303"/>
      <c r="U19" s="3"/>
      <c r="V19" s="3"/>
      <c r="W19" s="3"/>
    </row>
    <row r="20" spans="1:20" ht="13.5">
      <c r="A20" s="18" t="s">
        <v>166</v>
      </c>
      <c r="B20" s="13" t="s">
        <v>167</v>
      </c>
      <c r="C20" s="13" t="s">
        <v>168</v>
      </c>
      <c r="D20" s="13"/>
      <c r="E20" s="30"/>
      <c r="F20" s="241"/>
      <c r="G20" s="242"/>
      <c r="H20" s="243"/>
      <c r="I20" s="244"/>
      <c r="J20" s="245"/>
      <c r="K20" s="246"/>
      <c r="L20" s="247"/>
      <c r="M20" s="248"/>
      <c r="N20" s="249"/>
      <c r="O20" s="250"/>
      <c r="P20" s="251"/>
      <c r="Q20" s="251"/>
      <c r="R20" s="252"/>
      <c r="T20" s="129"/>
    </row>
    <row r="21" spans="1:20" ht="13.5">
      <c r="A21" s="18"/>
      <c r="B21" s="13"/>
      <c r="C21" s="13" t="s">
        <v>169</v>
      </c>
      <c r="D21" s="13"/>
      <c r="E21" s="30"/>
      <c r="F21" s="253">
        <v>50</v>
      </c>
      <c r="G21" s="254"/>
      <c r="H21" s="70">
        <v>2.2</v>
      </c>
      <c r="I21" s="70">
        <v>25.6</v>
      </c>
      <c r="J21" s="255">
        <v>30</v>
      </c>
      <c r="K21" s="256">
        <f aca="true" t="shared" si="3" ref="K21:K26">ROUND((I21*J21)/1000,2)</f>
        <v>0.77</v>
      </c>
      <c r="L21" s="256">
        <v>1</v>
      </c>
      <c r="M21" s="257">
        <f aca="true" t="shared" si="4" ref="M21:M26">SUM(K21:L21)</f>
        <v>1.77</v>
      </c>
      <c r="N21" s="258"/>
      <c r="O21" s="259">
        <f>(4/T21)*H21/1000</f>
        <v>1.1204507993669433</v>
      </c>
      <c r="P21" s="260"/>
      <c r="Q21" s="260"/>
      <c r="R21" s="261"/>
      <c r="T21" s="129">
        <f aca="true" t="shared" si="5" ref="T21:T29">IF(F21&lt;&gt;"",PI()*(F21/1000)^2,"")</f>
        <v>0.007853981633974483</v>
      </c>
    </row>
    <row r="22" spans="1:20" ht="13.5">
      <c r="A22" s="18"/>
      <c r="B22" s="13"/>
      <c r="C22" s="13" t="s">
        <v>129</v>
      </c>
      <c r="D22" s="13"/>
      <c r="E22" s="30"/>
      <c r="F22" s="253">
        <v>50</v>
      </c>
      <c r="G22" s="254">
        <v>1</v>
      </c>
      <c r="H22" s="70">
        <v>2.2</v>
      </c>
      <c r="I22" s="70">
        <v>0.4</v>
      </c>
      <c r="J22" s="255">
        <v>30</v>
      </c>
      <c r="K22" s="256">
        <f t="shared" si="3"/>
        <v>0.01</v>
      </c>
      <c r="L22" s="256"/>
      <c r="M22" s="257">
        <f t="shared" si="4"/>
        <v>0.01</v>
      </c>
      <c r="N22" s="258"/>
      <c r="O22" s="259"/>
      <c r="P22" s="260"/>
      <c r="Q22" s="260"/>
      <c r="R22" s="261"/>
      <c r="T22" s="129">
        <f t="shared" si="5"/>
        <v>0.007853981633974483</v>
      </c>
    </row>
    <row r="23" spans="1:20" ht="13.5">
      <c r="A23" s="18"/>
      <c r="B23" s="13"/>
      <c r="C23" s="13" t="s">
        <v>170</v>
      </c>
      <c r="D23" s="13"/>
      <c r="E23" s="30"/>
      <c r="F23" s="253">
        <v>50</v>
      </c>
      <c r="G23" s="254">
        <v>1</v>
      </c>
      <c r="H23" s="70">
        <v>2.2</v>
      </c>
      <c r="I23" s="70">
        <v>18</v>
      </c>
      <c r="J23" s="255">
        <v>30</v>
      </c>
      <c r="K23" s="256">
        <f t="shared" si="3"/>
        <v>0.54</v>
      </c>
      <c r="L23" s="256"/>
      <c r="M23" s="257">
        <f t="shared" si="4"/>
        <v>0.54</v>
      </c>
      <c r="N23" s="258"/>
      <c r="O23" s="259"/>
      <c r="P23" s="260"/>
      <c r="Q23" s="260"/>
      <c r="R23" s="261"/>
      <c r="T23" s="129">
        <f t="shared" si="5"/>
        <v>0.007853981633974483</v>
      </c>
    </row>
    <row r="24" spans="1:20" ht="13.5">
      <c r="A24" s="18"/>
      <c r="B24" s="13"/>
      <c r="C24" s="13" t="s">
        <v>130</v>
      </c>
      <c r="D24" s="13"/>
      <c r="E24" s="30"/>
      <c r="F24" s="253">
        <v>50</v>
      </c>
      <c r="G24" s="254">
        <v>1</v>
      </c>
      <c r="H24" s="70">
        <v>2.2</v>
      </c>
      <c r="I24" s="70">
        <v>7</v>
      </c>
      <c r="J24" s="255">
        <v>30</v>
      </c>
      <c r="K24" s="256">
        <f t="shared" si="3"/>
        <v>0.21</v>
      </c>
      <c r="L24" s="256"/>
      <c r="M24" s="257">
        <f t="shared" si="4"/>
        <v>0.21</v>
      </c>
      <c r="N24" s="258"/>
      <c r="O24" s="259"/>
      <c r="P24" s="260"/>
      <c r="Q24" s="260"/>
      <c r="R24" s="261"/>
      <c r="T24" s="129">
        <f t="shared" si="5"/>
        <v>0.007853981633974483</v>
      </c>
    </row>
    <row r="25" spans="1:20" ht="13.5">
      <c r="A25" s="18"/>
      <c r="B25" s="13"/>
      <c r="C25" s="13" t="s">
        <v>132</v>
      </c>
      <c r="D25" s="13"/>
      <c r="E25" s="30"/>
      <c r="F25" s="253">
        <v>50</v>
      </c>
      <c r="G25" s="254">
        <v>1</v>
      </c>
      <c r="H25" s="70">
        <v>2.2</v>
      </c>
      <c r="I25" s="70">
        <v>5</v>
      </c>
      <c r="J25" s="255">
        <v>30</v>
      </c>
      <c r="K25" s="256">
        <f t="shared" si="3"/>
        <v>0.15</v>
      </c>
      <c r="L25" s="256"/>
      <c r="M25" s="257">
        <f t="shared" si="4"/>
        <v>0.15</v>
      </c>
      <c r="N25" s="258"/>
      <c r="O25" s="259"/>
      <c r="P25" s="260"/>
      <c r="Q25" s="260"/>
      <c r="R25" s="261"/>
      <c r="T25" s="129">
        <f t="shared" si="5"/>
        <v>0.007853981633974483</v>
      </c>
    </row>
    <row r="26" spans="1:20" ht="13.5">
      <c r="A26" s="18"/>
      <c r="B26" s="13"/>
      <c r="C26" s="13"/>
      <c r="D26" s="13"/>
      <c r="E26" s="30"/>
      <c r="F26" s="253"/>
      <c r="G26" s="254"/>
      <c r="H26" s="70"/>
      <c r="I26" s="70"/>
      <c r="J26" s="255"/>
      <c r="K26" s="256">
        <f t="shared" si="3"/>
        <v>0</v>
      </c>
      <c r="L26" s="256"/>
      <c r="M26" s="257">
        <f t="shared" si="4"/>
        <v>0</v>
      </c>
      <c r="N26" s="258"/>
      <c r="O26" s="259"/>
      <c r="P26" s="260"/>
      <c r="Q26" s="260"/>
      <c r="R26" s="262"/>
      <c r="T26" s="129">
        <f t="shared" si="5"/>
      </c>
    </row>
    <row r="27" spans="1:20" ht="13.5">
      <c r="A27" s="18" t="s">
        <v>111</v>
      </c>
      <c r="B27" s="13" t="s">
        <v>47</v>
      </c>
      <c r="C27" s="13" t="s">
        <v>53</v>
      </c>
      <c r="D27" s="13"/>
      <c r="E27" s="30"/>
      <c r="F27" s="263"/>
      <c r="G27" s="254"/>
      <c r="H27" s="82"/>
      <c r="I27" s="70"/>
      <c r="J27" s="255"/>
      <c r="K27" s="256"/>
      <c r="L27" s="264"/>
      <c r="M27" s="257"/>
      <c r="N27" s="258"/>
      <c r="O27" s="259"/>
      <c r="P27" s="260"/>
      <c r="Q27" s="260"/>
      <c r="R27" s="262"/>
      <c r="T27" s="129">
        <f t="shared" si="5"/>
      </c>
    </row>
    <row r="28" spans="1:20" ht="13.5">
      <c r="A28" s="18"/>
      <c r="B28" s="13"/>
      <c r="C28" s="13" t="s">
        <v>134</v>
      </c>
      <c r="D28" s="13"/>
      <c r="E28" s="30"/>
      <c r="F28" s="253">
        <v>50</v>
      </c>
      <c r="G28" s="254"/>
      <c r="H28" s="70">
        <v>1.67</v>
      </c>
      <c r="I28" s="70">
        <v>25.6</v>
      </c>
      <c r="J28" s="255">
        <v>54</v>
      </c>
      <c r="K28" s="256">
        <f>ROUND((I28*J28)/1000,2)</f>
        <v>1.38</v>
      </c>
      <c r="L28" s="256"/>
      <c r="M28" s="257">
        <f>SUM(K28:L28)</f>
        <v>1.38</v>
      </c>
      <c r="N28" s="258"/>
      <c r="O28" s="259">
        <f>(4/T28)*H28/1000</f>
        <v>0.8505240158830886</v>
      </c>
      <c r="P28" s="260"/>
      <c r="Q28" s="260"/>
      <c r="R28" s="262"/>
      <c r="T28" s="129">
        <f t="shared" si="5"/>
        <v>0.007853981633974483</v>
      </c>
    </row>
    <row r="29" spans="1:20" ht="13.5">
      <c r="A29" s="18"/>
      <c r="B29" s="13"/>
      <c r="C29" s="13" t="s">
        <v>135</v>
      </c>
      <c r="D29" s="13"/>
      <c r="E29" s="30"/>
      <c r="F29" s="263">
        <v>50</v>
      </c>
      <c r="G29" s="254">
        <v>2</v>
      </c>
      <c r="H29" s="70">
        <v>1.67</v>
      </c>
      <c r="I29" s="70">
        <v>3</v>
      </c>
      <c r="J29" s="255">
        <v>54</v>
      </c>
      <c r="K29" s="256">
        <f>ROUND((I29*J29)/1000,2)</f>
        <v>0.16</v>
      </c>
      <c r="L29" s="264"/>
      <c r="M29" s="257">
        <f>SUM(K29:L29)</f>
        <v>0.16</v>
      </c>
      <c r="N29" s="258"/>
      <c r="O29" s="259"/>
      <c r="P29" s="260"/>
      <c r="Q29" s="260"/>
      <c r="R29" s="262"/>
      <c r="T29" s="129">
        <f t="shared" si="5"/>
        <v>0.007853981633974483</v>
      </c>
    </row>
    <row r="30" spans="1:20" ht="13.5">
      <c r="A30" s="18"/>
      <c r="B30" s="13"/>
      <c r="C30" s="13"/>
      <c r="D30" s="13"/>
      <c r="E30" s="30"/>
      <c r="F30" s="263"/>
      <c r="G30" s="254"/>
      <c r="H30" s="82"/>
      <c r="I30" s="70"/>
      <c r="J30" s="255"/>
      <c r="K30" s="256"/>
      <c r="L30" s="264"/>
      <c r="M30" s="257"/>
      <c r="N30" s="258"/>
      <c r="O30" s="259"/>
      <c r="P30" s="260"/>
      <c r="Q30" s="260"/>
      <c r="R30" s="262"/>
      <c r="T30" s="129"/>
    </row>
    <row r="31" spans="1:20" ht="13.5">
      <c r="A31" s="18"/>
      <c r="B31" s="13"/>
      <c r="C31" s="13"/>
      <c r="D31" s="13"/>
      <c r="E31" s="30"/>
      <c r="F31" s="263"/>
      <c r="G31" s="254"/>
      <c r="H31" s="82"/>
      <c r="I31" s="70"/>
      <c r="J31" s="255"/>
      <c r="K31" s="256"/>
      <c r="L31" s="264"/>
      <c r="M31" s="257"/>
      <c r="N31" s="258"/>
      <c r="O31" s="259"/>
      <c r="P31" s="260"/>
      <c r="Q31" s="260"/>
      <c r="R31" s="262"/>
      <c r="T31" s="129"/>
    </row>
    <row r="32" spans="1:20" ht="13.5">
      <c r="A32" s="18" t="s">
        <v>53</v>
      </c>
      <c r="B32" s="13" t="s">
        <v>47</v>
      </c>
      <c r="C32" s="13" t="s">
        <v>117</v>
      </c>
      <c r="D32" s="13"/>
      <c r="E32" s="30"/>
      <c r="F32" s="263"/>
      <c r="G32" s="254"/>
      <c r="H32" s="82"/>
      <c r="I32" s="70"/>
      <c r="J32" s="255"/>
      <c r="K32" s="256">
        <f aca="true" t="shared" si="6" ref="K32:K40">ROUND((I32*J32)/1000,2)</f>
        <v>0</v>
      </c>
      <c r="L32" s="264"/>
      <c r="M32" s="257">
        <f aca="true" t="shared" si="7" ref="M32:M40">SUM(K32:L32)</f>
        <v>0</v>
      </c>
      <c r="N32" s="258"/>
      <c r="O32" s="259"/>
      <c r="P32" s="260"/>
      <c r="Q32" s="260"/>
      <c r="R32" s="262"/>
      <c r="T32" s="129">
        <f aca="true" t="shared" si="8" ref="T32:T68">IF(F32&lt;&gt;"",PI()*(F32/1000)^2,"")</f>
      </c>
    </row>
    <row r="33" spans="1:20" ht="13.5">
      <c r="A33" s="18"/>
      <c r="B33" s="13"/>
      <c r="C33" s="13" t="s">
        <v>134</v>
      </c>
      <c r="D33" s="13"/>
      <c r="E33" s="30"/>
      <c r="F33" s="263">
        <v>40</v>
      </c>
      <c r="G33" s="265"/>
      <c r="H33" s="82">
        <v>1.8</v>
      </c>
      <c r="I33" s="70">
        <v>23.5</v>
      </c>
      <c r="J33" s="255">
        <v>61</v>
      </c>
      <c r="K33" s="256">
        <f t="shared" si="6"/>
        <v>1.43</v>
      </c>
      <c r="L33" s="266">
        <v>2.5</v>
      </c>
      <c r="M33" s="257">
        <f t="shared" si="7"/>
        <v>3.9299999999999997</v>
      </c>
      <c r="N33" s="258"/>
      <c r="O33" s="259">
        <f>(4/T33)*H33/1000</f>
        <v>1.432394487827058</v>
      </c>
      <c r="P33" s="260"/>
      <c r="Q33" s="260"/>
      <c r="R33" s="261"/>
      <c r="T33" s="129">
        <f t="shared" si="8"/>
        <v>0.005026548245743669</v>
      </c>
    </row>
    <row r="34" spans="1:20" ht="13.5">
      <c r="A34" s="18"/>
      <c r="B34" s="13"/>
      <c r="C34" s="13" t="s">
        <v>145</v>
      </c>
      <c r="D34" s="13"/>
      <c r="E34" s="30"/>
      <c r="F34" s="263" t="s">
        <v>136</v>
      </c>
      <c r="G34" s="265">
        <v>1</v>
      </c>
      <c r="H34" s="82">
        <v>1.8</v>
      </c>
      <c r="I34" s="70">
        <v>1</v>
      </c>
      <c r="J34" s="255">
        <v>61</v>
      </c>
      <c r="K34" s="256">
        <f t="shared" si="6"/>
        <v>0.06</v>
      </c>
      <c r="L34" s="256"/>
      <c r="M34" s="257">
        <f t="shared" si="7"/>
        <v>0.06</v>
      </c>
      <c r="N34" s="258"/>
      <c r="O34" s="259"/>
      <c r="P34" s="260"/>
      <c r="Q34" s="260"/>
      <c r="R34" s="261"/>
      <c r="T34" s="129" t="e">
        <f t="shared" si="8"/>
        <v>#VALUE!</v>
      </c>
    </row>
    <row r="35" spans="1:20" ht="13.5">
      <c r="A35" s="18"/>
      <c r="B35" s="13"/>
      <c r="C35" s="13" t="s">
        <v>135</v>
      </c>
      <c r="D35" s="13"/>
      <c r="E35" s="30"/>
      <c r="F35" s="263">
        <v>40</v>
      </c>
      <c r="G35" s="254">
        <v>3</v>
      </c>
      <c r="H35" s="82">
        <v>1.8</v>
      </c>
      <c r="I35" s="70">
        <v>3</v>
      </c>
      <c r="J35" s="255">
        <v>61</v>
      </c>
      <c r="K35" s="256">
        <f t="shared" si="6"/>
        <v>0.18</v>
      </c>
      <c r="L35" s="256"/>
      <c r="M35" s="257">
        <f t="shared" si="7"/>
        <v>0.18</v>
      </c>
      <c r="N35" s="258"/>
      <c r="O35" s="259"/>
      <c r="P35" s="260"/>
      <c r="Q35" s="260"/>
      <c r="R35" s="261"/>
      <c r="T35" s="129">
        <f t="shared" si="8"/>
        <v>0.005026548245743669</v>
      </c>
    </row>
    <row r="36" spans="1:20" ht="13.5">
      <c r="A36" s="18"/>
      <c r="B36" s="13"/>
      <c r="C36" s="13" t="s">
        <v>118</v>
      </c>
      <c r="D36" s="13"/>
      <c r="E36" s="30"/>
      <c r="F36" s="263">
        <v>40</v>
      </c>
      <c r="G36" s="254">
        <v>1</v>
      </c>
      <c r="H36" s="82">
        <v>1.8</v>
      </c>
      <c r="I36" s="70">
        <v>0.4</v>
      </c>
      <c r="J36" s="255">
        <v>61</v>
      </c>
      <c r="K36" s="256">
        <f t="shared" si="6"/>
        <v>0.02</v>
      </c>
      <c r="L36" s="256"/>
      <c r="M36" s="257">
        <f t="shared" si="7"/>
        <v>0.02</v>
      </c>
      <c r="N36" s="258"/>
      <c r="O36" s="259"/>
      <c r="P36" s="260"/>
      <c r="Q36" s="260"/>
      <c r="R36" s="261"/>
      <c r="T36" s="129">
        <f t="shared" si="8"/>
        <v>0.005026548245743669</v>
      </c>
    </row>
    <row r="37" spans="1:20" ht="13.5">
      <c r="A37" s="18"/>
      <c r="B37" s="13"/>
      <c r="C37" s="13"/>
      <c r="D37" s="13"/>
      <c r="E37" s="30"/>
      <c r="F37" s="253"/>
      <c r="G37" s="254"/>
      <c r="H37" s="70"/>
      <c r="I37" s="70"/>
      <c r="J37" s="255"/>
      <c r="K37" s="256">
        <f t="shared" si="6"/>
        <v>0</v>
      </c>
      <c r="L37" s="256"/>
      <c r="M37" s="257">
        <f t="shared" si="7"/>
        <v>0</v>
      </c>
      <c r="N37" s="258"/>
      <c r="O37" s="259"/>
      <c r="P37" s="260"/>
      <c r="Q37" s="260"/>
      <c r="R37" s="261"/>
      <c r="T37" s="129">
        <f t="shared" si="8"/>
      </c>
    </row>
    <row r="38" spans="1:20" ht="13.5">
      <c r="A38" s="18" t="s">
        <v>173</v>
      </c>
      <c r="B38" s="13" t="s">
        <v>172</v>
      </c>
      <c r="C38" s="13" t="s">
        <v>176</v>
      </c>
      <c r="D38" s="13"/>
      <c r="E38" s="30"/>
      <c r="F38" s="253"/>
      <c r="G38" s="254"/>
      <c r="H38" s="70"/>
      <c r="I38" s="70"/>
      <c r="J38" s="255"/>
      <c r="K38" s="256">
        <f t="shared" si="6"/>
        <v>0</v>
      </c>
      <c r="L38" s="256"/>
      <c r="M38" s="257">
        <f t="shared" si="7"/>
        <v>0</v>
      </c>
      <c r="N38" s="258"/>
      <c r="O38" s="259"/>
      <c r="P38" s="260"/>
      <c r="Q38" s="260"/>
      <c r="R38" s="267"/>
      <c r="T38" s="129">
        <f t="shared" si="8"/>
      </c>
    </row>
    <row r="39" spans="1:20" ht="13.5">
      <c r="A39" s="18"/>
      <c r="B39" s="13"/>
      <c r="C39" s="13" t="s">
        <v>174</v>
      </c>
      <c r="D39" s="13"/>
      <c r="E39" s="30"/>
      <c r="F39" s="263">
        <v>40</v>
      </c>
      <c r="G39" s="254"/>
      <c r="H39" s="70">
        <v>1.2</v>
      </c>
      <c r="I39" s="82">
        <v>2.6</v>
      </c>
      <c r="J39" s="268">
        <v>30</v>
      </c>
      <c r="K39" s="256">
        <f t="shared" si="6"/>
        <v>0.08</v>
      </c>
      <c r="L39" s="264">
        <v>2.6</v>
      </c>
      <c r="M39" s="257">
        <f t="shared" si="7"/>
        <v>2.68</v>
      </c>
      <c r="N39" s="269"/>
      <c r="O39" s="259">
        <f>(4/T39)*H39/1000</f>
        <v>0.9549296585513721</v>
      </c>
      <c r="P39" s="270"/>
      <c r="Q39" s="270"/>
      <c r="R39" s="271"/>
      <c r="T39" s="129">
        <f t="shared" si="8"/>
        <v>0.005026548245743669</v>
      </c>
    </row>
    <row r="40" spans="1:20" ht="13.5">
      <c r="A40" s="18"/>
      <c r="B40" s="13"/>
      <c r="C40" s="13" t="s">
        <v>175</v>
      </c>
      <c r="D40" s="13"/>
      <c r="E40" s="30"/>
      <c r="F40" s="263">
        <v>40</v>
      </c>
      <c r="G40" s="254">
        <v>1</v>
      </c>
      <c r="H40" s="70">
        <v>1.2</v>
      </c>
      <c r="I40" s="82">
        <v>1</v>
      </c>
      <c r="J40" s="268">
        <v>30</v>
      </c>
      <c r="K40" s="256">
        <f t="shared" si="6"/>
        <v>0.03</v>
      </c>
      <c r="L40" s="264"/>
      <c r="M40" s="257">
        <f t="shared" si="7"/>
        <v>0.03</v>
      </c>
      <c r="N40" s="269"/>
      <c r="O40" s="272"/>
      <c r="P40" s="270"/>
      <c r="Q40" s="270"/>
      <c r="R40" s="271"/>
      <c r="T40" s="129">
        <f t="shared" si="8"/>
        <v>0.005026548245743669</v>
      </c>
    </row>
    <row r="41" spans="1:20" ht="13.5">
      <c r="A41" s="18"/>
      <c r="B41" s="13"/>
      <c r="C41" s="13"/>
      <c r="D41" s="13"/>
      <c r="E41" s="30"/>
      <c r="F41" s="263"/>
      <c r="G41" s="254"/>
      <c r="H41" s="70"/>
      <c r="I41" s="82"/>
      <c r="J41" s="268"/>
      <c r="K41" s="256"/>
      <c r="L41" s="264"/>
      <c r="M41" s="257"/>
      <c r="N41" s="269"/>
      <c r="O41" s="272"/>
      <c r="P41" s="270"/>
      <c r="Q41" s="270"/>
      <c r="R41" s="271"/>
      <c r="T41" s="129">
        <f t="shared" si="8"/>
      </c>
    </row>
    <row r="42" spans="1:20" ht="13.5">
      <c r="A42" s="18" t="s">
        <v>176</v>
      </c>
      <c r="B42" s="13" t="s">
        <v>172</v>
      </c>
      <c r="C42" s="13" t="s">
        <v>178</v>
      </c>
      <c r="D42" s="13"/>
      <c r="E42" s="30"/>
      <c r="F42" s="263"/>
      <c r="G42" s="254"/>
      <c r="H42" s="70"/>
      <c r="I42" s="82"/>
      <c r="J42" s="268"/>
      <c r="K42" s="256"/>
      <c r="L42" s="264"/>
      <c r="M42" s="257"/>
      <c r="N42" s="269"/>
      <c r="O42" s="272"/>
      <c r="P42" s="270"/>
      <c r="Q42" s="270"/>
      <c r="R42" s="271"/>
      <c r="T42" s="129">
        <f t="shared" si="8"/>
      </c>
    </row>
    <row r="43" spans="1:20" ht="13.5">
      <c r="A43" s="18"/>
      <c r="B43" s="13"/>
      <c r="C43" s="13" t="s">
        <v>174</v>
      </c>
      <c r="D43" s="13"/>
      <c r="E43" s="30"/>
      <c r="F43" s="263">
        <v>25</v>
      </c>
      <c r="G43" s="254"/>
      <c r="H43" s="70">
        <v>0.6</v>
      </c>
      <c r="I43" s="82">
        <v>3.6</v>
      </c>
      <c r="J43" s="268">
        <v>95</v>
      </c>
      <c r="K43" s="256">
        <f>ROUND((I43*J43)/1000,2)</f>
        <v>0.34</v>
      </c>
      <c r="L43" s="264">
        <v>2.6</v>
      </c>
      <c r="M43" s="257">
        <f>SUM(K43:L43)</f>
        <v>2.94</v>
      </c>
      <c r="N43" s="269"/>
      <c r="O43" s="259">
        <f>(4/T43)*H43/1000</f>
        <v>1.2223099629457561</v>
      </c>
      <c r="P43" s="270"/>
      <c r="Q43" s="270"/>
      <c r="R43" s="271"/>
      <c r="T43" s="129">
        <f t="shared" si="8"/>
        <v>0.001963495408493621</v>
      </c>
    </row>
    <row r="44" spans="1:20" ht="13.5">
      <c r="A44" s="18"/>
      <c r="B44" s="13"/>
      <c r="C44" s="13" t="s">
        <v>177</v>
      </c>
      <c r="D44" s="13"/>
      <c r="E44" s="30"/>
      <c r="F44" s="263">
        <v>25</v>
      </c>
      <c r="G44" s="254">
        <v>1</v>
      </c>
      <c r="H44" s="70">
        <v>0.6</v>
      </c>
      <c r="I44" s="82">
        <v>1</v>
      </c>
      <c r="J44" s="268">
        <v>95</v>
      </c>
      <c r="K44" s="256">
        <f>ROUND((I44*J44)/1000,2)</f>
        <v>0.1</v>
      </c>
      <c r="L44" s="264"/>
      <c r="M44" s="257">
        <f>SUM(K44:L44)</f>
        <v>0.1</v>
      </c>
      <c r="N44" s="269"/>
      <c r="O44" s="272"/>
      <c r="P44" s="270"/>
      <c r="Q44" s="270"/>
      <c r="R44" s="271"/>
      <c r="T44" s="129">
        <f t="shared" si="8"/>
        <v>0.001963495408493621</v>
      </c>
    </row>
    <row r="45" spans="1:20" ht="13.5">
      <c r="A45" s="18"/>
      <c r="B45" s="13"/>
      <c r="C45" s="13" t="s">
        <v>175</v>
      </c>
      <c r="D45" s="13"/>
      <c r="E45" s="30"/>
      <c r="F45" s="253">
        <v>25</v>
      </c>
      <c r="G45" s="254">
        <v>1</v>
      </c>
      <c r="H45" s="70">
        <v>0.6</v>
      </c>
      <c r="I45" s="70">
        <v>1</v>
      </c>
      <c r="J45" s="268">
        <v>95</v>
      </c>
      <c r="K45" s="256">
        <f>ROUND((I45*J45)/1000,2)</f>
        <v>0.1</v>
      </c>
      <c r="L45" s="256"/>
      <c r="M45" s="257">
        <f>SUM(K45:L45)</f>
        <v>0.1</v>
      </c>
      <c r="N45" s="258"/>
      <c r="O45" s="259"/>
      <c r="P45" s="273"/>
      <c r="Q45" s="260"/>
      <c r="R45" s="261"/>
      <c r="T45" s="129">
        <f t="shared" si="8"/>
        <v>0.001963495408493621</v>
      </c>
    </row>
    <row r="46" spans="1:20" ht="13.5">
      <c r="A46" s="18"/>
      <c r="B46" s="13"/>
      <c r="C46" s="13"/>
      <c r="D46" s="13"/>
      <c r="E46" s="30"/>
      <c r="F46" s="253"/>
      <c r="G46" s="254"/>
      <c r="H46" s="70"/>
      <c r="I46" s="70"/>
      <c r="J46" s="255"/>
      <c r="K46" s="256"/>
      <c r="L46" s="256"/>
      <c r="M46" s="257"/>
      <c r="N46" s="258"/>
      <c r="O46" s="259"/>
      <c r="P46" s="260"/>
      <c r="Q46" s="260"/>
      <c r="R46" s="261"/>
      <c r="T46" s="129">
        <f t="shared" si="8"/>
      </c>
    </row>
    <row r="47" spans="1:20" ht="13.5">
      <c r="A47" s="18" t="s">
        <v>178</v>
      </c>
      <c r="B47" s="13" t="s">
        <v>172</v>
      </c>
      <c r="C47" s="13" t="s">
        <v>245</v>
      </c>
      <c r="D47" s="13"/>
      <c r="E47" s="30"/>
      <c r="F47" s="253"/>
      <c r="G47" s="254"/>
      <c r="H47" s="70"/>
      <c r="I47" s="70"/>
      <c r="J47" s="255"/>
      <c r="K47" s="256"/>
      <c r="L47" s="256"/>
      <c r="M47" s="257"/>
      <c r="N47" s="258"/>
      <c r="O47" s="259"/>
      <c r="P47" s="260"/>
      <c r="Q47" s="260"/>
      <c r="R47" s="261"/>
      <c r="T47" s="129">
        <f t="shared" si="8"/>
      </c>
    </row>
    <row r="48" spans="1:20" ht="13.5">
      <c r="A48" s="18"/>
      <c r="B48" s="13"/>
      <c r="C48" s="13" t="s">
        <v>174</v>
      </c>
      <c r="D48" s="13"/>
      <c r="E48" s="30"/>
      <c r="F48" s="274">
        <v>20</v>
      </c>
      <c r="G48" s="275"/>
      <c r="H48" s="104">
        <v>0.33</v>
      </c>
      <c r="I48" s="70">
        <v>4.5</v>
      </c>
      <c r="J48" s="276">
        <v>79</v>
      </c>
      <c r="K48" s="256">
        <f aca="true" t="shared" si="9" ref="K48:K53">ROUND((I48*J48)/1000,2)</f>
        <v>0.36</v>
      </c>
      <c r="L48" s="277">
        <v>-0.9</v>
      </c>
      <c r="M48" s="257">
        <f aca="true" t="shared" si="10" ref="M48:M53">SUM(K48:L48)</f>
        <v>-0.54</v>
      </c>
      <c r="N48" s="278"/>
      <c r="O48" s="259">
        <f>(4/T48)*H48/1000</f>
        <v>1.0504226244065094</v>
      </c>
      <c r="P48" s="260"/>
      <c r="Q48" s="260"/>
      <c r="R48" s="261"/>
      <c r="T48" s="129">
        <f t="shared" si="8"/>
        <v>0.0012566370614359172</v>
      </c>
    </row>
    <row r="49" spans="1:20" ht="13.5">
      <c r="A49" s="18"/>
      <c r="B49" s="13"/>
      <c r="C49" s="13" t="s">
        <v>177</v>
      </c>
      <c r="D49" s="13"/>
      <c r="E49" s="30"/>
      <c r="F49" s="274" t="s">
        <v>179</v>
      </c>
      <c r="G49" s="275">
        <v>1</v>
      </c>
      <c r="H49" s="104">
        <v>0.33</v>
      </c>
      <c r="I49" s="70">
        <v>0.5</v>
      </c>
      <c r="J49" s="276">
        <v>79</v>
      </c>
      <c r="K49" s="256">
        <f t="shared" si="9"/>
        <v>0.04</v>
      </c>
      <c r="L49" s="277"/>
      <c r="M49" s="257">
        <f t="shared" si="10"/>
        <v>0.04</v>
      </c>
      <c r="N49" s="258"/>
      <c r="O49" s="259"/>
      <c r="P49" s="260"/>
      <c r="Q49" s="260"/>
      <c r="R49" s="261"/>
      <c r="T49" s="129" t="e">
        <f t="shared" si="8"/>
        <v>#VALUE!</v>
      </c>
    </row>
    <row r="50" spans="1:20" ht="13.5">
      <c r="A50" s="18"/>
      <c r="B50" s="13"/>
      <c r="C50" s="13" t="s">
        <v>65</v>
      </c>
      <c r="D50" s="13"/>
      <c r="E50" s="30"/>
      <c r="F50" s="274">
        <v>20</v>
      </c>
      <c r="G50" s="275">
        <v>1</v>
      </c>
      <c r="H50" s="104">
        <v>0.33</v>
      </c>
      <c r="I50" s="104">
        <v>0.5</v>
      </c>
      <c r="J50" s="276">
        <v>79</v>
      </c>
      <c r="K50" s="256">
        <f t="shared" si="9"/>
        <v>0.04</v>
      </c>
      <c r="L50" s="277"/>
      <c r="M50" s="257">
        <f t="shared" si="10"/>
        <v>0.04</v>
      </c>
      <c r="N50" s="258"/>
      <c r="O50" s="259"/>
      <c r="P50" s="260"/>
      <c r="Q50" s="260"/>
      <c r="R50" s="261"/>
      <c r="T50" s="129">
        <f t="shared" si="8"/>
        <v>0.0012566370614359172</v>
      </c>
    </row>
    <row r="51" spans="1:20" ht="13.5">
      <c r="A51" s="18"/>
      <c r="B51" s="13"/>
      <c r="C51" s="13" t="s">
        <v>147</v>
      </c>
      <c r="D51" s="13"/>
      <c r="E51" s="30"/>
      <c r="F51" s="274">
        <v>20</v>
      </c>
      <c r="G51" s="275">
        <v>1</v>
      </c>
      <c r="H51" s="104">
        <v>0.33</v>
      </c>
      <c r="I51" s="104">
        <v>8.5</v>
      </c>
      <c r="J51" s="276">
        <v>79</v>
      </c>
      <c r="K51" s="256">
        <f t="shared" si="9"/>
        <v>0.67</v>
      </c>
      <c r="L51" s="277"/>
      <c r="M51" s="257">
        <f t="shared" si="10"/>
        <v>0.67</v>
      </c>
      <c r="N51" s="278"/>
      <c r="O51" s="259"/>
      <c r="P51" s="260"/>
      <c r="Q51" s="260"/>
      <c r="R51" s="261"/>
      <c r="T51" s="129">
        <f t="shared" si="8"/>
        <v>0.0012566370614359172</v>
      </c>
    </row>
    <row r="52" spans="1:20" ht="13.5">
      <c r="A52" s="18"/>
      <c r="B52" s="13"/>
      <c r="C52" s="13" t="s">
        <v>133</v>
      </c>
      <c r="D52" s="13"/>
      <c r="E52" s="30"/>
      <c r="F52" s="274">
        <v>20</v>
      </c>
      <c r="G52" s="275">
        <v>1</v>
      </c>
      <c r="H52" s="104">
        <v>0.33</v>
      </c>
      <c r="I52" s="104">
        <v>8</v>
      </c>
      <c r="J52" s="276">
        <v>79</v>
      </c>
      <c r="K52" s="256">
        <f t="shared" si="9"/>
        <v>0.63</v>
      </c>
      <c r="L52" s="277"/>
      <c r="M52" s="257">
        <f t="shared" si="10"/>
        <v>0.63</v>
      </c>
      <c r="N52" s="278"/>
      <c r="O52" s="259"/>
      <c r="P52" s="260"/>
      <c r="Q52" s="260"/>
      <c r="R52" s="279"/>
      <c r="T52" s="129">
        <f t="shared" si="8"/>
        <v>0.0012566370614359172</v>
      </c>
    </row>
    <row r="53" spans="1:20" ht="13.5">
      <c r="A53" s="18"/>
      <c r="B53" s="13"/>
      <c r="C53" s="13" t="s">
        <v>135</v>
      </c>
      <c r="D53" s="13"/>
      <c r="E53" s="30"/>
      <c r="F53" s="274">
        <v>20</v>
      </c>
      <c r="G53" s="275">
        <v>8</v>
      </c>
      <c r="H53" s="104">
        <v>0.33</v>
      </c>
      <c r="I53" s="104">
        <v>4</v>
      </c>
      <c r="J53" s="276">
        <v>79</v>
      </c>
      <c r="K53" s="256">
        <f t="shared" si="9"/>
        <v>0.32</v>
      </c>
      <c r="L53" s="277"/>
      <c r="M53" s="257">
        <f t="shared" si="10"/>
        <v>0.32</v>
      </c>
      <c r="N53" s="278"/>
      <c r="O53" s="259"/>
      <c r="P53" s="260"/>
      <c r="Q53" s="260"/>
      <c r="R53" s="280"/>
      <c r="T53" s="129">
        <f t="shared" si="8"/>
        <v>0.0012566370614359172</v>
      </c>
    </row>
    <row r="54" spans="1:20" ht="13.5">
      <c r="A54" s="18"/>
      <c r="B54" s="13"/>
      <c r="C54" s="13"/>
      <c r="D54" s="13"/>
      <c r="E54" s="30"/>
      <c r="F54" s="274"/>
      <c r="G54" s="275"/>
      <c r="H54" s="104"/>
      <c r="I54" s="104"/>
      <c r="J54" s="276"/>
      <c r="K54" s="199"/>
      <c r="L54" s="277"/>
      <c r="M54" s="92"/>
      <c r="N54" s="210"/>
      <c r="O54" s="259"/>
      <c r="P54" s="260"/>
      <c r="Q54" s="260"/>
      <c r="R54" s="261"/>
      <c r="T54" s="129">
        <f t="shared" si="8"/>
      </c>
    </row>
    <row r="55" spans="1:20" ht="13.5">
      <c r="A55" s="18" t="s">
        <v>49</v>
      </c>
      <c r="B55" s="13" t="s">
        <v>47</v>
      </c>
      <c r="C55" s="13" t="s">
        <v>50</v>
      </c>
      <c r="D55" s="13"/>
      <c r="E55" s="30"/>
      <c r="F55" s="274"/>
      <c r="G55" s="275"/>
      <c r="H55" s="104"/>
      <c r="I55" s="104"/>
      <c r="J55" s="276"/>
      <c r="K55" s="199"/>
      <c r="L55" s="277"/>
      <c r="M55" s="92"/>
      <c r="N55" s="210"/>
      <c r="O55" s="259"/>
      <c r="P55" s="260"/>
      <c r="Q55" s="260"/>
      <c r="R55" s="261"/>
      <c r="T55" s="129">
        <f t="shared" si="8"/>
      </c>
    </row>
    <row r="56" spans="1:20" ht="13.5">
      <c r="A56" s="18"/>
      <c r="B56" s="13"/>
      <c r="C56" s="13" t="s">
        <v>180</v>
      </c>
      <c r="D56" s="13"/>
      <c r="E56" s="30"/>
      <c r="F56" s="274">
        <v>20</v>
      </c>
      <c r="G56" s="275"/>
      <c r="H56" s="104">
        <v>0.33</v>
      </c>
      <c r="I56" s="104">
        <v>2.1</v>
      </c>
      <c r="J56" s="276">
        <v>79</v>
      </c>
      <c r="K56" s="256">
        <f>ROUND((I56*J56)/1000,2)</f>
        <v>0.17</v>
      </c>
      <c r="L56" s="277"/>
      <c r="M56" s="257">
        <f>SUM(K56:L56)</f>
        <v>0.17</v>
      </c>
      <c r="N56" s="210"/>
      <c r="O56" s="259">
        <f>(4/T56)*H56/1000</f>
        <v>1.0504226244065094</v>
      </c>
      <c r="P56" s="260"/>
      <c r="Q56" s="260"/>
      <c r="R56" s="261"/>
      <c r="T56" s="129">
        <f t="shared" si="8"/>
        <v>0.0012566370614359172</v>
      </c>
    </row>
    <row r="57" spans="1:20" ht="13.5">
      <c r="A57" s="18"/>
      <c r="B57" s="13"/>
      <c r="C57" s="13" t="s">
        <v>137</v>
      </c>
      <c r="D57" s="13"/>
      <c r="E57" s="30"/>
      <c r="F57" s="253">
        <v>20</v>
      </c>
      <c r="G57" s="254">
        <v>1</v>
      </c>
      <c r="H57" s="104">
        <v>0.33</v>
      </c>
      <c r="I57" s="70">
        <v>0.5</v>
      </c>
      <c r="J57" s="276">
        <v>79</v>
      </c>
      <c r="K57" s="256">
        <f>ROUND((I57*J57)/1000,2)</f>
        <v>0.04</v>
      </c>
      <c r="L57" s="256"/>
      <c r="M57" s="257">
        <f>SUM(K57:L57)</f>
        <v>0.04</v>
      </c>
      <c r="N57" s="258"/>
      <c r="O57" s="259"/>
      <c r="P57" s="260"/>
      <c r="Q57" s="260"/>
      <c r="R57" s="261"/>
      <c r="T57" s="129">
        <f t="shared" si="8"/>
        <v>0.0012566370614359172</v>
      </c>
    </row>
    <row r="58" spans="1:20" ht="13.5">
      <c r="A58" s="18"/>
      <c r="B58" s="13"/>
      <c r="C58" s="107"/>
      <c r="D58" s="13"/>
      <c r="E58" s="30"/>
      <c r="F58" s="253"/>
      <c r="G58" s="254"/>
      <c r="H58" s="70"/>
      <c r="I58" s="82"/>
      <c r="J58" s="255"/>
      <c r="K58" s="256"/>
      <c r="L58" s="256"/>
      <c r="M58" s="257"/>
      <c r="N58" s="258"/>
      <c r="O58" s="259"/>
      <c r="P58" s="260"/>
      <c r="Q58" s="260"/>
      <c r="R58" s="261"/>
      <c r="T58" s="129">
        <f t="shared" si="8"/>
      </c>
    </row>
    <row r="59" spans="1:20" ht="13.5">
      <c r="A59" s="18" t="s">
        <v>50</v>
      </c>
      <c r="B59" s="13" t="s">
        <v>47</v>
      </c>
      <c r="C59" s="13" t="s">
        <v>123</v>
      </c>
      <c r="D59" s="13"/>
      <c r="E59" s="30"/>
      <c r="F59" s="253"/>
      <c r="G59" s="254"/>
      <c r="H59" s="70"/>
      <c r="I59" s="82"/>
      <c r="J59" s="255"/>
      <c r="K59" s="256"/>
      <c r="L59" s="256"/>
      <c r="M59" s="257"/>
      <c r="N59" s="258"/>
      <c r="O59" s="259"/>
      <c r="P59" s="260"/>
      <c r="Q59" s="260"/>
      <c r="R59" s="267"/>
      <c r="T59" s="129">
        <f t="shared" si="8"/>
      </c>
    </row>
    <row r="60" spans="1:20" ht="13.5">
      <c r="A60" s="18"/>
      <c r="B60" s="13"/>
      <c r="C60" s="13" t="s">
        <v>180</v>
      </c>
      <c r="D60" s="13"/>
      <c r="E60" s="30"/>
      <c r="F60" s="253">
        <v>20</v>
      </c>
      <c r="G60" s="254"/>
      <c r="H60" s="70">
        <v>0.13</v>
      </c>
      <c r="I60" s="82">
        <v>4.5</v>
      </c>
      <c r="J60" s="255">
        <v>17</v>
      </c>
      <c r="K60" s="256">
        <f>ROUND((I60*J60)/1000,2)</f>
        <v>0.08</v>
      </c>
      <c r="L60" s="256">
        <v>1.4</v>
      </c>
      <c r="M60" s="257">
        <f>SUM(K60:L60)</f>
        <v>1.48</v>
      </c>
      <c r="N60" s="258"/>
      <c r="O60" s="259">
        <f>(4/T60)*H60/1000</f>
        <v>0.4138028520389279</v>
      </c>
      <c r="P60" s="260"/>
      <c r="Q60" s="260"/>
      <c r="R60" s="267"/>
      <c r="T60" s="129">
        <f t="shared" si="8"/>
        <v>0.0012566370614359172</v>
      </c>
    </row>
    <row r="61" spans="1:20" ht="13.5">
      <c r="A61" s="18"/>
      <c r="B61" s="13"/>
      <c r="C61" s="13" t="s">
        <v>145</v>
      </c>
      <c r="D61" s="13"/>
      <c r="E61" s="30"/>
      <c r="F61" s="253" t="s">
        <v>149</v>
      </c>
      <c r="G61" s="254">
        <v>1</v>
      </c>
      <c r="H61" s="70">
        <v>0.13</v>
      </c>
      <c r="I61" s="82">
        <v>0.5</v>
      </c>
      <c r="J61" s="255">
        <v>17</v>
      </c>
      <c r="K61" s="256">
        <f>ROUND((I61*J61)/1000,2)</f>
        <v>0.01</v>
      </c>
      <c r="L61" s="256"/>
      <c r="M61" s="257">
        <f>SUM(K61:L61)</f>
        <v>0.01</v>
      </c>
      <c r="N61" s="258"/>
      <c r="O61" s="259"/>
      <c r="P61" s="260"/>
      <c r="Q61" s="260"/>
      <c r="R61" s="267"/>
      <c r="T61" s="129" t="e">
        <f t="shared" si="8"/>
        <v>#VALUE!</v>
      </c>
    </row>
    <row r="62" spans="1:20" ht="13.5">
      <c r="A62" s="18"/>
      <c r="B62" s="13"/>
      <c r="C62" s="13" t="s">
        <v>135</v>
      </c>
      <c r="D62" s="13"/>
      <c r="E62" s="30"/>
      <c r="F62" s="253">
        <v>20</v>
      </c>
      <c r="G62" s="254">
        <v>5</v>
      </c>
      <c r="H62" s="70">
        <v>0.13</v>
      </c>
      <c r="I62" s="82">
        <v>2.5</v>
      </c>
      <c r="J62" s="255">
        <v>17</v>
      </c>
      <c r="K62" s="256">
        <f>ROUND((I62*J62)/1000,2)</f>
        <v>0.04</v>
      </c>
      <c r="L62" s="256"/>
      <c r="M62" s="257">
        <f>SUM(K62:L62)</f>
        <v>0.04</v>
      </c>
      <c r="N62" s="258"/>
      <c r="O62" s="259"/>
      <c r="P62" s="260"/>
      <c r="Q62" s="260"/>
      <c r="R62" s="267"/>
      <c r="T62" s="129">
        <f t="shared" si="8"/>
        <v>0.0012566370614359172</v>
      </c>
    </row>
    <row r="63" spans="1:20" ht="13.5">
      <c r="A63" s="18"/>
      <c r="B63" s="13"/>
      <c r="C63" s="13" t="s">
        <v>148</v>
      </c>
      <c r="D63" s="13"/>
      <c r="E63" s="30"/>
      <c r="F63" s="253">
        <v>13</v>
      </c>
      <c r="G63" s="254">
        <v>1</v>
      </c>
      <c r="H63" s="70">
        <v>0.13</v>
      </c>
      <c r="I63" s="71">
        <v>3</v>
      </c>
      <c r="J63" s="255">
        <v>113</v>
      </c>
      <c r="K63" s="256">
        <f>ROUND((I63*J63)/1000,2)</f>
        <v>0.34</v>
      </c>
      <c r="L63" s="256"/>
      <c r="M63" s="257">
        <f>SUM(K63:L63)</f>
        <v>0.34</v>
      </c>
      <c r="N63" s="258"/>
      <c r="O63" s="259"/>
      <c r="P63" s="260"/>
      <c r="Q63" s="260"/>
      <c r="R63" s="267"/>
      <c r="T63" s="129">
        <f t="shared" si="8"/>
        <v>0.0005309291584566749</v>
      </c>
    </row>
    <row r="64" spans="1:20" ht="13.5">
      <c r="A64" s="18"/>
      <c r="B64" s="13"/>
      <c r="C64" s="13"/>
      <c r="D64" s="13"/>
      <c r="E64" s="30"/>
      <c r="F64" s="253"/>
      <c r="G64" s="254"/>
      <c r="H64" s="70"/>
      <c r="I64" s="71"/>
      <c r="J64" s="255"/>
      <c r="K64" s="256"/>
      <c r="L64" s="256"/>
      <c r="M64" s="257"/>
      <c r="N64" s="258"/>
      <c r="O64" s="259"/>
      <c r="P64" s="260"/>
      <c r="Q64" s="260"/>
      <c r="R64" s="267"/>
      <c r="T64" s="129">
        <f t="shared" si="8"/>
      </c>
    </row>
    <row r="65" spans="1:20" ht="13.5">
      <c r="A65" s="18"/>
      <c r="B65" s="13"/>
      <c r="C65" s="13"/>
      <c r="D65" s="13"/>
      <c r="E65" s="30"/>
      <c r="F65" s="253"/>
      <c r="G65" s="254"/>
      <c r="H65" s="70"/>
      <c r="I65" s="71"/>
      <c r="J65" s="255"/>
      <c r="K65" s="256"/>
      <c r="L65" s="256"/>
      <c r="M65" s="257"/>
      <c r="N65" s="258"/>
      <c r="O65" s="259"/>
      <c r="P65" s="260"/>
      <c r="Q65" s="260"/>
      <c r="R65" s="267"/>
      <c r="T65" s="129">
        <f t="shared" si="8"/>
      </c>
    </row>
    <row r="66" spans="1:20" ht="13.5">
      <c r="A66" s="20"/>
      <c r="B66" s="12"/>
      <c r="C66" s="13" t="s">
        <v>119</v>
      </c>
      <c r="D66" s="13"/>
      <c r="E66" s="30"/>
      <c r="F66" s="253"/>
      <c r="G66" s="254"/>
      <c r="H66" s="71"/>
      <c r="I66" s="71"/>
      <c r="J66" s="255"/>
      <c r="K66" s="256"/>
      <c r="L66" s="256">
        <f>SUM(L20:L65)</f>
        <v>9.2</v>
      </c>
      <c r="M66" s="256">
        <f>SUM(M20:M65)</f>
        <v>17.499999999999996</v>
      </c>
      <c r="N66" s="281"/>
      <c r="O66" s="259"/>
      <c r="P66" s="260"/>
      <c r="Q66" s="260"/>
      <c r="R66" s="267"/>
      <c r="T66" s="129">
        <f t="shared" si="8"/>
      </c>
    </row>
    <row r="67" spans="1:20" ht="13.5">
      <c r="A67" s="20"/>
      <c r="B67" s="12"/>
      <c r="C67" s="13"/>
      <c r="D67" s="13"/>
      <c r="E67" s="30"/>
      <c r="F67" s="253"/>
      <c r="G67" s="254"/>
      <c r="H67" s="71"/>
      <c r="I67" s="71"/>
      <c r="J67" s="255"/>
      <c r="K67" s="256"/>
      <c r="L67" s="256"/>
      <c r="M67" s="256"/>
      <c r="N67" s="281"/>
      <c r="O67" s="259"/>
      <c r="P67" s="260"/>
      <c r="Q67" s="260"/>
      <c r="R67" s="279"/>
      <c r="T67" s="129">
        <f t="shared" si="8"/>
      </c>
    </row>
    <row r="68" spans="1:20" ht="13.5">
      <c r="A68" s="20"/>
      <c r="B68" s="12"/>
      <c r="C68" s="13" t="s">
        <v>121</v>
      </c>
      <c r="D68" s="13"/>
      <c r="E68" s="30"/>
      <c r="F68" s="282"/>
      <c r="G68" s="254"/>
      <c r="H68" s="71"/>
      <c r="I68" s="71"/>
      <c r="J68" s="255"/>
      <c r="K68" s="256"/>
      <c r="L68" s="256"/>
      <c r="M68" s="256"/>
      <c r="N68" s="281"/>
      <c r="O68" s="259"/>
      <c r="P68" s="260"/>
      <c r="Q68" s="260"/>
      <c r="R68" s="280"/>
      <c r="T68" s="129">
        <f t="shared" si="8"/>
      </c>
    </row>
    <row r="69" spans="1:20" ht="13.5">
      <c r="A69" s="20"/>
      <c r="B69" s="12"/>
      <c r="C69" s="13"/>
      <c r="D69" s="13"/>
      <c r="E69" s="30"/>
      <c r="F69" s="283"/>
      <c r="G69" s="254"/>
      <c r="H69" s="71"/>
      <c r="I69" s="71"/>
      <c r="J69" s="255"/>
      <c r="K69" s="256"/>
      <c r="L69" s="256"/>
      <c r="M69" s="256"/>
      <c r="N69" s="281"/>
      <c r="O69" s="259"/>
      <c r="P69" s="260"/>
      <c r="Q69" s="260"/>
      <c r="R69" s="267"/>
      <c r="T69" s="129">
        <f>IF(F69&gt;0,PI()*(F69/1000)^2,"")</f>
      </c>
    </row>
    <row r="70" spans="1:20" ht="14.25" thickBot="1">
      <c r="A70" s="20"/>
      <c r="B70" s="12"/>
      <c r="C70" s="111" t="s">
        <v>70</v>
      </c>
      <c r="D70" s="13"/>
      <c r="E70" s="31"/>
      <c r="F70" s="284"/>
      <c r="G70" s="285"/>
      <c r="H70" s="72"/>
      <c r="I70" s="72"/>
      <c r="J70" s="286"/>
      <c r="K70" s="200"/>
      <c r="L70" s="287"/>
      <c r="M70" s="204">
        <f>SUM(M66:M69)</f>
        <v>17.499999999999996</v>
      </c>
      <c r="N70" s="288"/>
      <c r="O70" s="289"/>
      <c r="P70" s="485"/>
      <c r="Q70" s="485"/>
      <c r="R70" s="486"/>
      <c r="T70" s="300" t="s">
        <v>72</v>
      </c>
    </row>
    <row r="71" spans="1:20" ht="14.25" thickBot="1">
      <c r="A71" s="489" t="s">
        <v>37</v>
      </c>
      <c r="B71" s="490"/>
      <c r="C71" s="490"/>
      <c r="D71" s="490"/>
      <c r="E71" s="491"/>
      <c r="F71" s="121">
        <f>+M70</f>
        <v>17.499999999999996</v>
      </c>
      <c r="G71" s="32" t="s">
        <v>112</v>
      </c>
      <c r="H71" s="122">
        <f>ROUND(F71*0.0098,2)</f>
        <v>0.17</v>
      </c>
      <c r="I71" s="32" t="str">
        <f>IF(J71&gt;H71,"&gt;","&lt;")</f>
        <v>&gt;</v>
      </c>
      <c r="J71" s="290">
        <v>0.25</v>
      </c>
      <c r="K71" s="291" t="s">
        <v>37</v>
      </c>
      <c r="L71" s="493" t="str">
        <f>25.5&amp;"-"&amp;M70</f>
        <v>25.5-17.5</v>
      </c>
      <c r="M71" s="493"/>
      <c r="N71" s="292" t="s">
        <v>181</v>
      </c>
      <c r="O71" s="157">
        <f>25.5-F71</f>
        <v>8.000000000000004</v>
      </c>
      <c r="P71" s="157"/>
      <c r="Q71" s="157"/>
      <c r="R71" s="158"/>
      <c r="T71" s="304" t="str">
        <f>IF(I71="&gt;","OK!","×")</f>
        <v>OK!</v>
      </c>
    </row>
    <row r="72" spans="1:18" ht="13.5">
      <c r="A72" s="20"/>
      <c r="B72" s="12"/>
      <c r="C72" s="12"/>
      <c r="D72" s="12"/>
      <c r="E72" s="12"/>
      <c r="F72" s="13"/>
      <c r="G72" s="13"/>
      <c r="H72" s="13"/>
      <c r="I72" s="13"/>
      <c r="J72" s="233"/>
      <c r="K72" s="233"/>
      <c r="L72" s="233"/>
      <c r="M72" s="233"/>
      <c r="N72" s="233"/>
      <c r="O72" s="233"/>
      <c r="P72" s="233"/>
      <c r="Q72" s="233"/>
      <c r="R72" s="236"/>
    </row>
    <row r="73" spans="1:18" ht="13.5">
      <c r="A73" s="487" t="s">
        <v>32</v>
      </c>
      <c r="B73" s="488"/>
      <c r="C73" s="488"/>
      <c r="D73" s="488"/>
      <c r="E73" s="488"/>
      <c r="F73" s="488"/>
      <c r="G73" s="293">
        <v>0.25</v>
      </c>
      <c r="H73" s="233" t="s">
        <v>182</v>
      </c>
      <c r="I73" s="162">
        <v>4</v>
      </c>
      <c r="J73" s="233" t="s">
        <v>182</v>
      </c>
      <c r="K73" s="201">
        <v>12</v>
      </c>
      <c r="L73" s="233" t="s">
        <v>183</v>
      </c>
      <c r="M73" s="203">
        <f>+G73*I73*K73</f>
        <v>12</v>
      </c>
      <c r="N73" s="16" t="s">
        <v>184</v>
      </c>
      <c r="O73" s="16"/>
      <c r="P73" s="16"/>
      <c r="Q73" s="16"/>
      <c r="R73" s="294"/>
    </row>
    <row r="74" spans="1:18" ht="13.5">
      <c r="A74" s="487"/>
      <c r="B74" s="488"/>
      <c r="C74" s="488"/>
      <c r="D74" s="488"/>
      <c r="E74" s="488"/>
      <c r="F74" s="488"/>
      <c r="G74" s="13"/>
      <c r="H74" s="16"/>
      <c r="I74" s="16"/>
      <c r="J74" s="295"/>
      <c r="K74" s="295"/>
      <c r="L74" s="295"/>
      <c r="M74" s="295"/>
      <c r="N74" s="295"/>
      <c r="O74" s="295"/>
      <c r="P74" s="295"/>
      <c r="Q74" s="295"/>
      <c r="R74" s="294"/>
    </row>
    <row r="75" spans="1:18" ht="13.5">
      <c r="A75" s="21"/>
      <c r="B75" s="22"/>
      <c r="C75" s="22"/>
      <c r="D75" s="22"/>
      <c r="E75" s="22"/>
      <c r="F75" s="23"/>
      <c r="G75" s="23"/>
      <c r="H75" s="24"/>
      <c r="I75" s="24"/>
      <c r="J75" s="296"/>
      <c r="K75" s="296"/>
      <c r="L75" s="296"/>
      <c r="M75" s="296"/>
      <c r="N75" s="296"/>
      <c r="O75" s="296"/>
      <c r="P75" s="296"/>
      <c r="Q75" s="296"/>
      <c r="R75" s="297"/>
    </row>
    <row r="76" spans="11:12" ht="13.5">
      <c r="K76" s="299"/>
      <c r="L76" s="299"/>
    </row>
    <row r="77" spans="11:12" ht="13.5">
      <c r="K77" s="299"/>
      <c r="L77" s="299"/>
    </row>
    <row r="78" spans="11:12" ht="13.5">
      <c r="K78" s="10"/>
      <c r="L78" s="10"/>
    </row>
    <row r="79" spans="11:12" ht="13.5">
      <c r="K79" s="10"/>
      <c r="L79" s="10"/>
    </row>
    <row r="80" spans="11:12" ht="13.5">
      <c r="K80" s="10"/>
      <c r="L80" s="10"/>
    </row>
    <row r="81" spans="11:12" ht="13.5">
      <c r="K81" s="10"/>
      <c r="L81" s="10"/>
    </row>
    <row r="82" spans="11:12" ht="13.5">
      <c r="K82" s="10"/>
      <c r="L82" s="10"/>
    </row>
    <row r="83" spans="11:12" ht="13.5">
      <c r="K83" s="10"/>
      <c r="L83" s="10"/>
    </row>
    <row r="84" spans="11:12" ht="13.5">
      <c r="K84" s="10"/>
      <c r="L84" s="10"/>
    </row>
    <row r="85" spans="11:12" ht="13.5">
      <c r="K85" s="10"/>
      <c r="L85" s="10"/>
    </row>
    <row r="86" spans="11:12" ht="13.5">
      <c r="K86" s="10"/>
      <c r="L86" s="10"/>
    </row>
    <row r="87" spans="11:12" ht="13.5">
      <c r="K87" s="10"/>
      <c r="L87" s="10"/>
    </row>
    <row r="88" spans="11:12" ht="13.5">
      <c r="K88" s="10"/>
      <c r="L88" s="10"/>
    </row>
  </sheetData>
  <sheetProtection/>
  <mergeCells count="9">
    <mergeCell ref="P70:R70"/>
    <mergeCell ref="A1:R1"/>
    <mergeCell ref="A18:E19"/>
    <mergeCell ref="A74:F74"/>
    <mergeCell ref="A71:E71"/>
    <mergeCell ref="L71:M71"/>
    <mergeCell ref="N18:O18"/>
    <mergeCell ref="N19:O19"/>
    <mergeCell ref="A73:F73"/>
  </mergeCells>
  <conditionalFormatting sqref="T71">
    <cfRule type="cellIs" priority="1" dxfId="13" operator="equal" stopIfTrue="1">
      <formula>"OK!"</formula>
    </cfRule>
    <cfRule type="cellIs" priority="2" dxfId="14" operator="equal" stopIfTrue="1">
      <formula>"×"</formula>
    </cfRule>
  </conditionalFormatting>
  <printOptions/>
  <pageMargins left="0.74" right="0.1968503937007874" top="0.6299212598425197" bottom="0.41" header="0.5118110236220472" footer="0.2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Zeros="0" zoomScale="85" zoomScaleNormal="85" zoomScaleSheetLayoutView="100" zoomScalePageLayoutView="0" workbookViewId="0" topLeftCell="A1">
      <selection activeCell="I72" sqref="I72"/>
    </sheetView>
  </sheetViews>
  <sheetFormatPr defaultColWidth="3.25390625" defaultRowHeight="13.5"/>
  <cols>
    <col min="1" max="1" width="4.25390625" style="4" customWidth="1"/>
    <col min="2" max="2" width="2.00390625" style="4" customWidth="1"/>
    <col min="3" max="3" width="6.125" style="4" customWidth="1"/>
    <col min="4" max="4" width="1.37890625" style="4" customWidth="1"/>
    <col min="5" max="5" width="6.125" style="4" customWidth="1"/>
    <col min="6" max="6" width="6.75390625" style="1" customWidth="1"/>
    <col min="7" max="7" width="6.625" style="1" customWidth="1"/>
    <col min="8" max="8" width="7.125" style="0" customWidth="1"/>
    <col min="9" max="9" width="8.375" style="0" customWidth="1"/>
    <col min="10" max="10" width="9.875" style="298" customWidth="1"/>
    <col min="11" max="11" width="8.00390625" style="0" customWidth="1"/>
    <col min="12" max="12" width="6.125" style="0" customWidth="1"/>
    <col min="13" max="13" width="12.25390625" style="0" customWidth="1"/>
    <col min="14" max="14" width="2.625" style="0" bestFit="1" customWidth="1"/>
    <col min="15" max="15" width="5.875" style="0" customWidth="1"/>
    <col min="16" max="16" width="5.375" style="0" customWidth="1"/>
    <col min="17" max="17" width="4.25390625" style="0" customWidth="1"/>
    <col min="18" max="18" width="3.375" style="0" customWidth="1"/>
    <col min="19" max="19" width="3.25390625" style="0" customWidth="1"/>
    <col min="20" max="20" width="5.50390625" style="300" customWidth="1"/>
    <col min="21" max="21" width="4.625" style="0" customWidth="1"/>
  </cols>
  <sheetData>
    <row r="1" spans="1:18" ht="17.25">
      <c r="A1" s="456" t="s">
        <v>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</row>
    <row r="2" spans="1:22" s="1" customFormat="1" ht="13.5">
      <c r="A2" s="20" t="s">
        <v>222</v>
      </c>
      <c r="B2" s="12"/>
      <c r="C2" s="13"/>
      <c r="D2" s="13"/>
      <c r="E2" s="13"/>
      <c r="F2" s="13"/>
      <c r="G2" s="13"/>
      <c r="H2" s="13"/>
      <c r="I2" s="13"/>
      <c r="J2" s="13"/>
      <c r="K2" s="118" t="s">
        <v>113</v>
      </c>
      <c r="L2" s="27"/>
      <c r="M2" s="114"/>
      <c r="N2" s="114"/>
      <c r="O2" s="114"/>
      <c r="P2" s="114"/>
      <c r="Q2" s="114"/>
      <c r="R2" s="115"/>
      <c r="S2" s="7"/>
      <c r="T2" s="301"/>
      <c r="V2" s="11"/>
    </row>
    <row r="3" spans="1:22" ht="13.5">
      <c r="A3" s="20"/>
      <c r="B3" s="12"/>
      <c r="C3" s="12"/>
      <c r="D3" s="12"/>
      <c r="E3" s="12"/>
      <c r="F3" s="13"/>
      <c r="G3" s="13"/>
      <c r="H3" s="16"/>
      <c r="I3" s="16"/>
      <c r="J3" s="231"/>
      <c r="K3" s="20" t="s">
        <v>114</v>
      </c>
      <c r="L3" s="13"/>
      <c r="M3" s="12"/>
      <c r="N3" s="12"/>
      <c r="O3" s="16"/>
      <c r="P3" s="16"/>
      <c r="Q3" s="16"/>
      <c r="R3" s="17"/>
      <c r="S3" s="1"/>
      <c r="V3" s="232"/>
    </row>
    <row r="4" spans="1:22" ht="13.5" customHeight="1">
      <c r="A4" s="67" t="s">
        <v>10</v>
      </c>
      <c r="B4" s="28"/>
      <c r="C4" s="28" t="s">
        <v>17</v>
      </c>
      <c r="D4" s="28"/>
      <c r="E4" s="13" t="s">
        <v>18</v>
      </c>
      <c r="F4" s="13"/>
      <c r="G4" s="14" t="s">
        <v>22</v>
      </c>
      <c r="H4" s="29" t="s">
        <v>8</v>
      </c>
      <c r="I4" s="233" t="s">
        <v>151</v>
      </c>
      <c r="J4" s="233" t="s">
        <v>152</v>
      </c>
      <c r="K4" s="20" t="s">
        <v>197</v>
      </c>
      <c r="L4" s="229"/>
      <c r="M4" s="229"/>
      <c r="N4" s="229"/>
      <c r="O4" s="229"/>
      <c r="P4" s="229"/>
      <c r="Q4" s="229"/>
      <c r="R4" s="230"/>
      <c r="V4" s="232"/>
    </row>
    <row r="5" spans="1:22" ht="19.5" customHeight="1">
      <c r="A5" s="18"/>
      <c r="B5" s="13"/>
      <c r="C5" s="13" t="s">
        <v>153</v>
      </c>
      <c r="D5" s="13"/>
      <c r="E5" s="12" t="s">
        <v>131</v>
      </c>
      <c r="F5" s="13"/>
      <c r="G5" s="65"/>
      <c r="H5" s="16"/>
      <c r="I5" s="234"/>
      <c r="J5" s="235">
        <f aca="true" t="shared" si="0" ref="J5:J10">+I5/60</f>
        <v>0</v>
      </c>
      <c r="K5" s="20" t="s">
        <v>198</v>
      </c>
      <c r="L5" s="229"/>
      <c r="M5" s="229"/>
      <c r="N5" s="229"/>
      <c r="O5" s="229"/>
      <c r="P5" s="229"/>
      <c r="Q5" s="229"/>
      <c r="R5" s="230"/>
      <c r="S5" s="1"/>
      <c r="V5" s="232"/>
    </row>
    <row r="6" spans="1:22" ht="13.5">
      <c r="A6" s="18"/>
      <c r="B6" s="13"/>
      <c r="C6" s="13" t="s">
        <v>208</v>
      </c>
      <c r="D6" s="13"/>
      <c r="E6" s="12" t="s">
        <v>20</v>
      </c>
      <c r="F6" s="13"/>
      <c r="G6" s="65" t="s">
        <v>188</v>
      </c>
      <c r="H6" s="16">
        <v>13</v>
      </c>
      <c r="I6" s="234">
        <v>12</v>
      </c>
      <c r="J6" s="235">
        <f t="shared" si="0"/>
        <v>0.2</v>
      </c>
      <c r="K6" s="20" t="s">
        <v>199</v>
      </c>
      <c r="L6" s="13"/>
      <c r="M6" s="12"/>
      <c r="N6" s="12"/>
      <c r="O6" s="16"/>
      <c r="P6" s="16"/>
      <c r="Q6" s="16"/>
      <c r="R6" s="17"/>
      <c r="V6" s="232"/>
    </row>
    <row r="7" spans="1:22" ht="13.5" customHeight="1">
      <c r="A7" s="18"/>
      <c r="B7" s="13"/>
      <c r="C7" s="13" t="s">
        <v>154</v>
      </c>
      <c r="D7" s="13"/>
      <c r="E7" s="12" t="s">
        <v>116</v>
      </c>
      <c r="F7" s="13"/>
      <c r="G7" s="65"/>
      <c r="H7" s="16">
        <v>13</v>
      </c>
      <c r="I7" s="234">
        <v>12</v>
      </c>
      <c r="J7" s="235">
        <f t="shared" si="0"/>
        <v>0.2</v>
      </c>
      <c r="K7" s="20" t="s">
        <v>200</v>
      </c>
      <c r="L7" s="12"/>
      <c r="M7" s="12"/>
      <c r="N7" s="12"/>
      <c r="O7" s="12"/>
      <c r="P7" s="12"/>
      <c r="Q7" s="12"/>
      <c r="R7" s="31"/>
      <c r="S7" s="1"/>
      <c r="V7" s="232"/>
    </row>
    <row r="8" spans="1:21" ht="13.5">
      <c r="A8" s="18"/>
      <c r="B8" s="13"/>
      <c r="C8" s="13" t="s">
        <v>209</v>
      </c>
      <c r="D8" s="13"/>
      <c r="E8" s="12" t="s">
        <v>124</v>
      </c>
      <c r="F8" s="13"/>
      <c r="G8" s="13"/>
      <c r="H8" s="16">
        <v>13</v>
      </c>
      <c r="I8" s="234">
        <v>8</v>
      </c>
      <c r="J8" s="235">
        <f t="shared" si="0"/>
        <v>0.13333333333333333</v>
      </c>
      <c r="K8" s="20"/>
      <c r="L8" s="12"/>
      <c r="M8" s="12"/>
      <c r="N8" s="12"/>
      <c r="O8" s="12"/>
      <c r="P8" s="12"/>
      <c r="Q8" s="12"/>
      <c r="R8" s="31"/>
      <c r="T8" s="305" t="s">
        <v>207</v>
      </c>
      <c r="U8" s="305"/>
    </row>
    <row r="9" spans="1:21" ht="13.5">
      <c r="A9" s="18"/>
      <c r="B9" s="13"/>
      <c r="C9" s="13" t="s">
        <v>210</v>
      </c>
      <c r="D9" s="13"/>
      <c r="E9" s="12" t="s">
        <v>115</v>
      </c>
      <c r="F9" s="13"/>
      <c r="G9" s="65"/>
      <c r="H9" s="16">
        <v>13</v>
      </c>
      <c r="I9" s="234">
        <v>20</v>
      </c>
      <c r="J9" s="235">
        <f t="shared" si="0"/>
        <v>0.3333333333333333</v>
      </c>
      <c r="K9" s="18" t="s">
        <v>225</v>
      </c>
      <c r="L9" s="164" t="s">
        <v>226</v>
      </c>
      <c r="M9" s="12"/>
      <c r="N9" s="107" t="s">
        <v>214</v>
      </c>
      <c r="O9" s="16" t="e">
        <f>[1]!textcalc(L9)</f>
        <v>#NAME?</v>
      </c>
      <c r="P9" s="165" t="s">
        <v>139</v>
      </c>
      <c r="Q9" s="163" t="e">
        <f>ROUND((O9/60),2)</f>
        <v>#NAME?</v>
      </c>
      <c r="R9" s="236" t="s">
        <v>215</v>
      </c>
      <c r="T9" s="305">
        <f>19*18^0.67</f>
        <v>131.76078675283605</v>
      </c>
      <c r="U9" s="305">
        <f aca="true" t="shared" si="1" ref="U9:U14">+T9/60</f>
        <v>2.1960131125472677</v>
      </c>
    </row>
    <row r="10" spans="1:21" ht="13.5">
      <c r="A10" s="18"/>
      <c r="B10" s="13"/>
      <c r="C10" s="13" t="s">
        <v>211</v>
      </c>
      <c r="D10" s="13"/>
      <c r="E10" s="12" t="s">
        <v>212</v>
      </c>
      <c r="F10" s="13"/>
      <c r="G10" s="65" t="s">
        <v>213</v>
      </c>
      <c r="H10" s="16">
        <v>13</v>
      </c>
      <c r="I10" s="234">
        <v>8</v>
      </c>
      <c r="J10" s="235">
        <f t="shared" si="0"/>
        <v>0.13333333333333333</v>
      </c>
      <c r="K10" s="18" t="s">
        <v>216</v>
      </c>
      <c r="L10" s="164" t="s">
        <v>201</v>
      </c>
      <c r="M10" s="12"/>
      <c r="N10" s="107" t="s">
        <v>214</v>
      </c>
      <c r="O10" s="16" t="e">
        <f>[1]!textcalc(L10)</f>
        <v>#NAME?</v>
      </c>
      <c r="P10" s="165" t="s">
        <v>139</v>
      </c>
      <c r="Q10" s="163" t="e">
        <f aca="true" t="shared" si="2" ref="Q10:Q16">ROUND((O10/60),2)</f>
        <v>#NAME?</v>
      </c>
      <c r="R10" s="236" t="s">
        <v>215</v>
      </c>
      <c r="T10" s="305">
        <f>19*12^0.67</f>
        <v>100.4164897715819</v>
      </c>
      <c r="U10" s="305">
        <f t="shared" si="1"/>
        <v>1.6736081628596982</v>
      </c>
    </row>
    <row r="11" spans="1:21" ht="13.5">
      <c r="A11" s="18"/>
      <c r="B11" s="13"/>
      <c r="C11" s="13"/>
      <c r="D11" s="13"/>
      <c r="E11" s="12"/>
      <c r="F11" s="13"/>
      <c r="G11" s="65"/>
      <c r="H11" s="16"/>
      <c r="I11" s="16"/>
      <c r="J11" s="231"/>
      <c r="K11" s="18" t="s">
        <v>217</v>
      </c>
      <c r="L11" s="164" t="s">
        <v>202</v>
      </c>
      <c r="M11" s="16"/>
      <c r="N11" s="107" t="s">
        <v>214</v>
      </c>
      <c r="O11" s="16" t="e">
        <f>[1]!textcalc(L11)</f>
        <v>#NAME?</v>
      </c>
      <c r="P11" s="165" t="s">
        <v>139</v>
      </c>
      <c r="Q11" s="163" t="e">
        <f t="shared" si="2"/>
        <v>#NAME?</v>
      </c>
      <c r="R11" s="236" t="s">
        <v>215</v>
      </c>
      <c r="T11" s="305">
        <f>42*6^0.33</f>
        <v>75.86460536278405</v>
      </c>
      <c r="U11" s="305">
        <f t="shared" si="1"/>
        <v>1.264410089379734</v>
      </c>
    </row>
    <row r="12" spans="1:21" ht="13.5">
      <c r="A12" s="18"/>
      <c r="B12" s="13"/>
      <c r="C12" s="13"/>
      <c r="D12" s="13"/>
      <c r="E12" s="12"/>
      <c r="F12" s="13"/>
      <c r="G12" s="65"/>
      <c r="H12" s="228" t="s">
        <v>196</v>
      </c>
      <c r="I12" s="227">
        <f>AVERAGE(I6:I10)</f>
        <v>12</v>
      </c>
      <c r="J12" s="235">
        <f>+I12/60</f>
        <v>0.2</v>
      </c>
      <c r="K12" s="18" t="s">
        <v>161</v>
      </c>
      <c r="L12" s="164" t="s">
        <v>203</v>
      </c>
      <c r="M12" s="16"/>
      <c r="N12" s="107" t="s">
        <v>214</v>
      </c>
      <c r="O12" s="16" t="e">
        <f>[1]!textcalc(L12)</f>
        <v>#NAME?</v>
      </c>
      <c r="P12" s="165" t="s">
        <v>139</v>
      </c>
      <c r="Q12" s="163" t="e">
        <f t="shared" si="2"/>
        <v>#NAME?</v>
      </c>
      <c r="R12" s="236" t="s">
        <v>215</v>
      </c>
      <c r="T12" s="305">
        <f>42*4^0.33</f>
        <v>66.36347019652368</v>
      </c>
      <c r="U12" s="305">
        <f t="shared" si="1"/>
        <v>1.106057836608728</v>
      </c>
    </row>
    <row r="13" spans="1:21" ht="13.5">
      <c r="A13" s="18"/>
      <c r="B13" s="13"/>
      <c r="C13" s="12" t="s">
        <v>38</v>
      </c>
      <c r="D13" s="13"/>
      <c r="E13" s="12"/>
      <c r="F13" s="13"/>
      <c r="G13" s="13"/>
      <c r="H13" s="16"/>
      <c r="I13" s="16"/>
      <c r="J13" s="231"/>
      <c r="K13" s="18" t="s">
        <v>218</v>
      </c>
      <c r="L13" s="164" t="s">
        <v>227</v>
      </c>
      <c r="M13" s="16"/>
      <c r="N13" s="107" t="s">
        <v>214</v>
      </c>
      <c r="O13" s="16" t="e">
        <f>[1]!textcalc(L13)</f>
        <v>#NAME?</v>
      </c>
      <c r="P13" s="165" t="s">
        <v>139</v>
      </c>
      <c r="Q13" s="163" t="e">
        <f t="shared" si="2"/>
        <v>#NAME?</v>
      </c>
      <c r="R13" s="236" t="s">
        <v>215</v>
      </c>
      <c r="T13" s="305">
        <f>42*2^0.33</f>
        <v>52.79456172991679</v>
      </c>
      <c r="U13" s="305">
        <f t="shared" si="1"/>
        <v>0.8799093621652799</v>
      </c>
    </row>
    <row r="14" spans="1:21" ht="13.5">
      <c r="A14" s="20"/>
      <c r="B14" s="12"/>
      <c r="C14" s="12"/>
      <c r="D14" s="12"/>
      <c r="E14" s="12"/>
      <c r="F14" s="13"/>
      <c r="G14" s="13"/>
      <c r="H14" s="16"/>
      <c r="I14" s="16"/>
      <c r="J14" s="231"/>
      <c r="K14" s="18" t="s">
        <v>220</v>
      </c>
      <c r="L14" s="164" t="s">
        <v>219</v>
      </c>
      <c r="M14" s="16"/>
      <c r="N14" s="107" t="s">
        <v>214</v>
      </c>
      <c r="O14" s="16" t="e">
        <f>[1]!textcalc(L14)</f>
        <v>#NAME?</v>
      </c>
      <c r="P14" s="165" t="s">
        <v>139</v>
      </c>
      <c r="Q14" s="163" t="e">
        <f t="shared" si="2"/>
        <v>#NAME?</v>
      </c>
      <c r="R14" s="236" t="s">
        <v>215</v>
      </c>
      <c r="T14" s="306">
        <f>42*1^0.33</f>
        <v>42</v>
      </c>
      <c r="U14" s="305">
        <f t="shared" si="1"/>
        <v>0.7</v>
      </c>
    </row>
    <row r="15" spans="1:18" ht="13.5">
      <c r="A15" s="20"/>
      <c r="B15" s="12"/>
      <c r="C15" s="12"/>
      <c r="D15" s="12"/>
      <c r="E15" s="12"/>
      <c r="F15" s="13"/>
      <c r="G15" s="13"/>
      <c r="H15" s="16"/>
      <c r="I15" s="16"/>
      <c r="J15" s="231"/>
      <c r="K15" s="18" t="s">
        <v>223</v>
      </c>
      <c r="L15" s="164" t="s">
        <v>219</v>
      </c>
      <c r="M15" s="16"/>
      <c r="N15" s="107" t="s">
        <v>214</v>
      </c>
      <c r="O15" s="16" t="e">
        <f>[1]!textcalc(L15)</f>
        <v>#NAME?</v>
      </c>
      <c r="P15" s="165" t="s">
        <v>139</v>
      </c>
      <c r="Q15" s="163" t="e">
        <f t="shared" si="2"/>
        <v>#NAME?</v>
      </c>
      <c r="R15" s="236" t="s">
        <v>215</v>
      </c>
    </row>
    <row r="16" spans="1:18" ht="13.5">
      <c r="A16" s="20"/>
      <c r="B16" s="12"/>
      <c r="C16" s="12"/>
      <c r="D16" s="12"/>
      <c r="E16" s="12"/>
      <c r="F16" s="13"/>
      <c r="G16" s="13"/>
      <c r="H16" s="16"/>
      <c r="I16" s="16"/>
      <c r="J16" s="231"/>
      <c r="K16" s="18" t="s">
        <v>224</v>
      </c>
      <c r="L16" s="164" t="s">
        <v>221</v>
      </c>
      <c r="M16" s="16"/>
      <c r="N16" s="107" t="s">
        <v>214</v>
      </c>
      <c r="O16" s="16" t="e">
        <f>[1]!textcalc(L16)</f>
        <v>#NAME?</v>
      </c>
      <c r="P16" s="165" t="s">
        <v>139</v>
      </c>
      <c r="Q16" s="163" t="e">
        <f t="shared" si="2"/>
        <v>#NAME?</v>
      </c>
      <c r="R16" s="236" t="s">
        <v>215</v>
      </c>
    </row>
    <row r="17" spans="1:18" ht="13.5">
      <c r="A17" s="21" t="s">
        <v>34</v>
      </c>
      <c r="B17" s="22"/>
      <c r="C17" s="22"/>
      <c r="D17" s="22"/>
      <c r="E17" s="22"/>
      <c r="F17" s="23"/>
      <c r="G17" s="23"/>
      <c r="H17" s="24"/>
      <c r="I17" s="24"/>
      <c r="J17" s="237"/>
      <c r="K17" s="117"/>
      <c r="L17" s="24"/>
      <c r="M17" s="24"/>
      <c r="N17" s="24"/>
      <c r="O17" s="24"/>
      <c r="P17" s="24"/>
      <c r="Q17" s="24"/>
      <c r="R17" s="26"/>
    </row>
    <row r="18" spans="1:23" s="2" customFormat="1" ht="13.5">
      <c r="A18" s="459" t="s">
        <v>5</v>
      </c>
      <c r="B18" s="460"/>
      <c r="C18" s="460"/>
      <c r="D18" s="460"/>
      <c r="E18" s="461"/>
      <c r="F18" s="52" t="s">
        <v>7</v>
      </c>
      <c r="G18" s="53" t="s">
        <v>9</v>
      </c>
      <c r="H18" s="53" t="s">
        <v>0</v>
      </c>
      <c r="I18" s="53" t="s">
        <v>25</v>
      </c>
      <c r="J18" s="238" t="s">
        <v>26</v>
      </c>
      <c r="K18" s="53" t="s">
        <v>1</v>
      </c>
      <c r="L18" s="53" t="s">
        <v>51</v>
      </c>
      <c r="M18" s="55" t="s">
        <v>2</v>
      </c>
      <c r="N18" s="476" t="s">
        <v>150</v>
      </c>
      <c r="O18" s="477"/>
      <c r="P18" s="161"/>
      <c r="Q18" s="161"/>
      <c r="R18" s="160"/>
      <c r="S18" s="3"/>
      <c r="T18" s="302"/>
      <c r="U18" s="3"/>
      <c r="V18" s="3"/>
      <c r="W18" s="3"/>
    </row>
    <row r="19" spans="1:23" s="2" customFormat="1" ht="13.5">
      <c r="A19" s="462"/>
      <c r="B19" s="463"/>
      <c r="C19" s="463"/>
      <c r="D19" s="463"/>
      <c r="E19" s="464"/>
      <c r="F19" s="56" t="s">
        <v>163</v>
      </c>
      <c r="G19" s="57"/>
      <c r="H19" s="57" t="s">
        <v>28</v>
      </c>
      <c r="I19" s="57" t="s">
        <v>164</v>
      </c>
      <c r="J19" s="239" t="s">
        <v>31</v>
      </c>
      <c r="K19" s="240" t="s">
        <v>164</v>
      </c>
      <c r="L19" s="240" t="s">
        <v>164</v>
      </c>
      <c r="M19" s="60" t="s">
        <v>164</v>
      </c>
      <c r="N19" s="478" t="s">
        <v>165</v>
      </c>
      <c r="O19" s="479"/>
      <c r="P19" s="23"/>
      <c r="Q19" s="23"/>
      <c r="R19" s="159"/>
      <c r="S19" s="3"/>
      <c r="T19" s="303"/>
      <c r="U19" s="3"/>
      <c r="V19" s="3"/>
      <c r="W19" s="3"/>
    </row>
    <row r="20" spans="1:20" ht="13.5">
      <c r="A20" s="18" t="s">
        <v>166</v>
      </c>
      <c r="B20" s="13" t="s">
        <v>167</v>
      </c>
      <c r="C20" s="13" t="s">
        <v>168</v>
      </c>
      <c r="D20" s="13"/>
      <c r="E20" s="30"/>
      <c r="F20" s="241"/>
      <c r="G20" s="242"/>
      <c r="H20" s="243"/>
      <c r="I20" s="244"/>
      <c r="J20" s="245"/>
      <c r="K20" s="246"/>
      <c r="L20" s="247"/>
      <c r="M20" s="248"/>
      <c r="N20" s="249"/>
      <c r="O20" s="250"/>
      <c r="P20" s="251"/>
      <c r="Q20" s="251"/>
      <c r="R20" s="252"/>
      <c r="T20" s="129"/>
    </row>
    <row r="21" spans="1:20" ht="13.5">
      <c r="A21" s="18"/>
      <c r="B21" s="13"/>
      <c r="C21" s="13" t="s">
        <v>169</v>
      </c>
      <c r="D21" s="13"/>
      <c r="E21" s="30"/>
      <c r="F21" s="253">
        <v>50</v>
      </c>
      <c r="G21" s="254"/>
      <c r="H21" s="70" t="e">
        <f>+Q9</f>
        <v>#NAME?</v>
      </c>
      <c r="I21" s="70">
        <v>25.6</v>
      </c>
      <c r="J21" s="255">
        <v>123</v>
      </c>
      <c r="K21" s="256">
        <f aca="true" t="shared" si="3" ref="K21:K40">ROUND((I21*J21)/1000,2)</f>
        <v>3.15</v>
      </c>
      <c r="L21" s="256">
        <v>1</v>
      </c>
      <c r="M21" s="257">
        <f aca="true" t="shared" si="4" ref="M21:M40">SUM(K21:L21)</f>
        <v>4.15</v>
      </c>
      <c r="N21" s="258"/>
      <c r="O21" s="259" t="e">
        <f>(4/T21)*H21/1000</f>
        <v>#NAME?</v>
      </c>
      <c r="P21" s="260"/>
      <c r="Q21" s="260"/>
      <c r="R21" s="261"/>
      <c r="T21" s="129">
        <f aca="true" t="shared" si="5" ref="T21:T68">IF(F21&lt;&gt;"",PI()*(F21/1000)^2,"")</f>
        <v>0.007853981633974483</v>
      </c>
    </row>
    <row r="22" spans="1:20" ht="13.5">
      <c r="A22" s="18"/>
      <c r="B22" s="13"/>
      <c r="C22" s="13" t="s">
        <v>129</v>
      </c>
      <c r="D22" s="13"/>
      <c r="E22" s="30"/>
      <c r="F22" s="253">
        <v>50</v>
      </c>
      <c r="G22" s="254">
        <v>1</v>
      </c>
      <c r="H22" s="70">
        <v>4.8</v>
      </c>
      <c r="I22" s="70">
        <v>0.4</v>
      </c>
      <c r="J22" s="255">
        <v>123</v>
      </c>
      <c r="K22" s="256">
        <f t="shared" si="3"/>
        <v>0.05</v>
      </c>
      <c r="L22" s="256"/>
      <c r="M22" s="257">
        <f t="shared" si="4"/>
        <v>0.05</v>
      </c>
      <c r="N22" s="258"/>
      <c r="O22" s="259"/>
      <c r="P22" s="260"/>
      <c r="Q22" s="260"/>
      <c r="R22" s="261"/>
      <c r="T22" s="129">
        <f t="shared" si="5"/>
        <v>0.007853981633974483</v>
      </c>
    </row>
    <row r="23" spans="1:20" ht="13.5">
      <c r="A23" s="18"/>
      <c r="B23" s="13"/>
      <c r="C23" s="13" t="s">
        <v>170</v>
      </c>
      <c r="D23" s="13"/>
      <c r="E23" s="30"/>
      <c r="F23" s="253">
        <v>50</v>
      </c>
      <c r="G23" s="254">
        <v>1</v>
      </c>
      <c r="H23" s="70">
        <v>4.8</v>
      </c>
      <c r="I23" s="70">
        <v>18</v>
      </c>
      <c r="J23" s="255">
        <v>123</v>
      </c>
      <c r="K23" s="256">
        <f t="shared" si="3"/>
        <v>2.21</v>
      </c>
      <c r="L23" s="256"/>
      <c r="M23" s="257">
        <f t="shared" si="4"/>
        <v>2.21</v>
      </c>
      <c r="N23" s="258"/>
      <c r="O23" s="259"/>
      <c r="P23" s="260"/>
      <c r="Q23" s="260"/>
      <c r="R23" s="261"/>
      <c r="T23" s="129">
        <f t="shared" si="5"/>
        <v>0.007853981633974483</v>
      </c>
    </row>
    <row r="24" spans="1:20" ht="13.5">
      <c r="A24" s="18"/>
      <c r="B24" s="13"/>
      <c r="C24" s="13" t="s">
        <v>130</v>
      </c>
      <c r="D24" s="13"/>
      <c r="E24" s="30"/>
      <c r="F24" s="253">
        <v>50</v>
      </c>
      <c r="G24" s="254">
        <v>1</v>
      </c>
      <c r="H24" s="70">
        <v>4.8</v>
      </c>
      <c r="I24" s="70">
        <v>7</v>
      </c>
      <c r="J24" s="255">
        <v>123</v>
      </c>
      <c r="K24" s="256">
        <f t="shared" si="3"/>
        <v>0.86</v>
      </c>
      <c r="L24" s="256"/>
      <c r="M24" s="257">
        <f t="shared" si="4"/>
        <v>0.86</v>
      </c>
      <c r="N24" s="258"/>
      <c r="O24" s="259"/>
      <c r="P24" s="260"/>
      <c r="Q24" s="260"/>
      <c r="R24" s="261"/>
      <c r="T24" s="129">
        <f t="shared" si="5"/>
        <v>0.007853981633974483</v>
      </c>
    </row>
    <row r="25" spans="1:20" ht="13.5">
      <c r="A25" s="18"/>
      <c r="B25" s="13"/>
      <c r="C25" s="13" t="s">
        <v>132</v>
      </c>
      <c r="D25" s="13"/>
      <c r="E25" s="30"/>
      <c r="F25" s="253">
        <v>50</v>
      </c>
      <c r="G25" s="254">
        <v>1</v>
      </c>
      <c r="H25" s="70">
        <v>4.8</v>
      </c>
      <c r="I25" s="70">
        <v>5</v>
      </c>
      <c r="J25" s="255">
        <v>123</v>
      </c>
      <c r="K25" s="256">
        <f t="shared" si="3"/>
        <v>0.62</v>
      </c>
      <c r="L25" s="256"/>
      <c r="M25" s="257">
        <f t="shared" si="4"/>
        <v>0.62</v>
      </c>
      <c r="N25" s="258"/>
      <c r="O25" s="259"/>
      <c r="P25" s="260"/>
      <c r="Q25" s="260"/>
      <c r="R25" s="261"/>
      <c r="T25" s="129">
        <f t="shared" si="5"/>
        <v>0.007853981633974483</v>
      </c>
    </row>
    <row r="26" spans="1:20" ht="13.5">
      <c r="A26" s="18"/>
      <c r="B26" s="13"/>
      <c r="C26" s="13"/>
      <c r="D26" s="13"/>
      <c r="E26" s="30"/>
      <c r="F26" s="253"/>
      <c r="G26" s="254"/>
      <c r="H26" s="70"/>
      <c r="I26" s="70"/>
      <c r="J26" s="255"/>
      <c r="K26" s="256">
        <f t="shared" si="3"/>
        <v>0</v>
      </c>
      <c r="L26" s="256"/>
      <c r="M26" s="257">
        <f t="shared" si="4"/>
        <v>0</v>
      </c>
      <c r="N26" s="258"/>
      <c r="O26" s="259"/>
      <c r="P26" s="260"/>
      <c r="Q26" s="260"/>
      <c r="R26" s="262"/>
      <c r="T26" s="129">
        <f t="shared" si="5"/>
      </c>
    </row>
    <row r="27" spans="1:20" ht="13.5">
      <c r="A27" s="18" t="s">
        <v>111</v>
      </c>
      <c r="B27" s="13" t="s">
        <v>47</v>
      </c>
      <c r="C27" s="13" t="s">
        <v>53</v>
      </c>
      <c r="D27" s="13"/>
      <c r="E27" s="30"/>
      <c r="F27" s="263"/>
      <c r="G27" s="254"/>
      <c r="H27" s="82"/>
      <c r="I27" s="70"/>
      <c r="J27" s="255"/>
      <c r="K27" s="256"/>
      <c r="L27" s="264"/>
      <c r="M27" s="257"/>
      <c r="N27" s="258"/>
      <c r="O27" s="259"/>
      <c r="P27" s="260"/>
      <c r="Q27" s="260"/>
      <c r="R27" s="262"/>
      <c r="T27" s="129">
        <f t="shared" si="5"/>
      </c>
    </row>
    <row r="28" spans="1:20" ht="13.5">
      <c r="A28" s="18"/>
      <c r="B28" s="13"/>
      <c r="C28" s="13" t="s">
        <v>169</v>
      </c>
      <c r="D28" s="13"/>
      <c r="E28" s="30"/>
      <c r="F28" s="253">
        <v>50</v>
      </c>
      <c r="G28" s="254"/>
      <c r="H28" s="70">
        <v>3.2</v>
      </c>
      <c r="I28" s="70">
        <v>25.6</v>
      </c>
      <c r="J28" s="255">
        <v>60</v>
      </c>
      <c r="K28" s="256">
        <f>ROUND((I28*J28)/1000,2)</f>
        <v>1.54</v>
      </c>
      <c r="L28" s="256"/>
      <c r="M28" s="257">
        <f>SUM(K28:L28)</f>
        <v>1.54</v>
      </c>
      <c r="N28" s="258"/>
      <c r="O28" s="259">
        <f>(4/T28)*H28/1000</f>
        <v>1.6297466172610084</v>
      </c>
      <c r="P28" s="260"/>
      <c r="Q28" s="260"/>
      <c r="R28" s="262"/>
      <c r="T28" s="129">
        <f t="shared" si="5"/>
        <v>0.007853981633974483</v>
      </c>
    </row>
    <row r="29" spans="1:20" ht="13.5">
      <c r="A29" s="18"/>
      <c r="B29" s="13"/>
      <c r="C29" s="13" t="s">
        <v>135</v>
      </c>
      <c r="D29" s="13"/>
      <c r="E29" s="30"/>
      <c r="F29" s="263">
        <v>50</v>
      </c>
      <c r="G29" s="254">
        <v>2</v>
      </c>
      <c r="H29" s="82">
        <v>3.2</v>
      </c>
      <c r="I29" s="70">
        <v>3</v>
      </c>
      <c r="J29" s="255">
        <v>60</v>
      </c>
      <c r="K29" s="256">
        <f>ROUND((I29*J29)/1000,2)</f>
        <v>0.18</v>
      </c>
      <c r="L29" s="264"/>
      <c r="M29" s="257">
        <f>SUM(K29:L29)</f>
        <v>0.18</v>
      </c>
      <c r="N29" s="258"/>
      <c r="O29" s="259"/>
      <c r="P29" s="260"/>
      <c r="Q29" s="260"/>
      <c r="R29" s="262"/>
      <c r="T29" s="129">
        <f t="shared" si="5"/>
        <v>0.007853981633974483</v>
      </c>
    </row>
    <row r="30" spans="1:20" ht="13.5">
      <c r="A30" s="18"/>
      <c r="B30" s="13"/>
      <c r="C30" s="13"/>
      <c r="D30" s="13"/>
      <c r="E30" s="30"/>
      <c r="F30" s="263"/>
      <c r="G30" s="254"/>
      <c r="H30" s="82"/>
      <c r="I30" s="70"/>
      <c r="J30" s="255"/>
      <c r="K30" s="256"/>
      <c r="L30" s="264"/>
      <c r="M30" s="257"/>
      <c r="N30" s="258"/>
      <c r="O30" s="259"/>
      <c r="P30" s="260"/>
      <c r="Q30" s="260"/>
      <c r="R30" s="262"/>
      <c r="T30" s="129"/>
    </row>
    <row r="31" spans="1:20" ht="13.5">
      <c r="A31" s="18"/>
      <c r="B31" s="13"/>
      <c r="C31" s="13"/>
      <c r="D31" s="13"/>
      <c r="E31" s="30"/>
      <c r="F31" s="263"/>
      <c r="G31" s="254"/>
      <c r="H31" s="82"/>
      <c r="I31" s="70"/>
      <c r="J31" s="255"/>
      <c r="K31" s="256"/>
      <c r="L31" s="264"/>
      <c r="M31" s="257"/>
      <c r="N31" s="258"/>
      <c r="O31" s="259"/>
      <c r="P31" s="260"/>
      <c r="Q31" s="260"/>
      <c r="R31" s="262"/>
      <c r="T31" s="129"/>
    </row>
    <row r="32" spans="1:20" ht="13.5">
      <c r="A32" s="18" t="s">
        <v>171</v>
      </c>
      <c r="B32" s="13" t="s">
        <v>172</v>
      </c>
      <c r="C32" s="13" t="s">
        <v>173</v>
      </c>
      <c r="D32" s="13"/>
      <c r="E32" s="30"/>
      <c r="F32" s="263"/>
      <c r="G32" s="254"/>
      <c r="H32" s="82"/>
      <c r="I32" s="70"/>
      <c r="J32" s="255"/>
      <c r="K32" s="256">
        <f t="shared" si="3"/>
        <v>0</v>
      </c>
      <c r="L32" s="264"/>
      <c r="M32" s="257">
        <f t="shared" si="4"/>
        <v>0</v>
      </c>
      <c r="N32" s="258"/>
      <c r="O32" s="259"/>
      <c r="P32" s="260"/>
      <c r="Q32" s="260"/>
      <c r="R32" s="262"/>
      <c r="T32" s="129">
        <f t="shared" si="5"/>
      </c>
    </row>
    <row r="33" spans="1:20" ht="13.5">
      <c r="A33" s="18"/>
      <c r="B33" s="13"/>
      <c r="C33" s="13" t="s">
        <v>134</v>
      </c>
      <c r="D33" s="13"/>
      <c r="E33" s="30"/>
      <c r="F33" s="263">
        <v>40</v>
      </c>
      <c r="G33" s="265"/>
      <c r="H33" s="82">
        <v>1.8</v>
      </c>
      <c r="I33" s="70">
        <v>23.5</v>
      </c>
      <c r="J33" s="255">
        <v>61</v>
      </c>
      <c r="K33" s="256">
        <f t="shared" si="3"/>
        <v>1.43</v>
      </c>
      <c r="L33" s="266">
        <v>2.5</v>
      </c>
      <c r="M33" s="257">
        <f t="shared" si="4"/>
        <v>3.9299999999999997</v>
      </c>
      <c r="N33" s="258"/>
      <c r="O33" s="259">
        <f>(4/T33)*H33/1000</f>
        <v>1.432394487827058</v>
      </c>
      <c r="P33" s="260"/>
      <c r="Q33" s="260"/>
      <c r="R33" s="261"/>
      <c r="T33" s="129">
        <f t="shared" si="5"/>
        <v>0.005026548245743669</v>
      </c>
    </row>
    <row r="34" spans="1:20" ht="13.5">
      <c r="A34" s="18"/>
      <c r="B34" s="13"/>
      <c r="C34" s="13" t="s">
        <v>145</v>
      </c>
      <c r="D34" s="13"/>
      <c r="E34" s="30"/>
      <c r="F34" s="263" t="s">
        <v>136</v>
      </c>
      <c r="G34" s="265">
        <v>1</v>
      </c>
      <c r="H34" s="82">
        <v>1.8</v>
      </c>
      <c r="I34" s="70">
        <v>1</v>
      </c>
      <c r="J34" s="255">
        <v>61</v>
      </c>
      <c r="K34" s="256">
        <f t="shared" si="3"/>
        <v>0.06</v>
      </c>
      <c r="L34" s="256"/>
      <c r="M34" s="257">
        <f t="shared" si="4"/>
        <v>0.06</v>
      </c>
      <c r="N34" s="258"/>
      <c r="O34" s="259"/>
      <c r="P34" s="260"/>
      <c r="Q34" s="260"/>
      <c r="R34" s="261"/>
      <c r="T34" s="129" t="e">
        <f t="shared" si="5"/>
        <v>#VALUE!</v>
      </c>
    </row>
    <row r="35" spans="1:20" ht="13.5">
      <c r="A35" s="18"/>
      <c r="B35" s="13"/>
      <c r="C35" s="13" t="s">
        <v>135</v>
      </c>
      <c r="D35" s="13"/>
      <c r="E35" s="30"/>
      <c r="F35" s="263">
        <v>40</v>
      </c>
      <c r="G35" s="254">
        <v>3</v>
      </c>
      <c r="H35" s="82">
        <v>1.8</v>
      </c>
      <c r="I35" s="70">
        <v>3</v>
      </c>
      <c r="J35" s="255">
        <v>61</v>
      </c>
      <c r="K35" s="256">
        <f t="shared" si="3"/>
        <v>0.18</v>
      </c>
      <c r="L35" s="256"/>
      <c r="M35" s="257">
        <f t="shared" si="4"/>
        <v>0.18</v>
      </c>
      <c r="N35" s="258"/>
      <c r="O35" s="259"/>
      <c r="P35" s="260"/>
      <c r="Q35" s="260"/>
      <c r="R35" s="261"/>
      <c r="T35" s="129">
        <f t="shared" si="5"/>
        <v>0.005026548245743669</v>
      </c>
    </row>
    <row r="36" spans="1:20" ht="13.5">
      <c r="A36" s="18"/>
      <c r="B36" s="13"/>
      <c r="C36" s="13" t="s">
        <v>118</v>
      </c>
      <c r="D36" s="13"/>
      <c r="E36" s="30"/>
      <c r="F36" s="263">
        <v>40</v>
      </c>
      <c r="G36" s="254">
        <v>1</v>
      </c>
      <c r="H36" s="82">
        <v>1.8</v>
      </c>
      <c r="I36" s="70">
        <v>0.4</v>
      </c>
      <c r="J36" s="255">
        <v>61</v>
      </c>
      <c r="K36" s="256">
        <f t="shared" si="3"/>
        <v>0.02</v>
      </c>
      <c r="L36" s="256"/>
      <c r="M36" s="257">
        <f t="shared" si="4"/>
        <v>0.02</v>
      </c>
      <c r="N36" s="258"/>
      <c r="O36" s="259"/>
      <c r="P36" s="260"/>
      <c r="Q36" s="260"/>
      <c r="R36" s="261"/>
      <c r="T36" s="129">
        <f t="shared" si="5"/>
        <v>0.005026548245743669</v>
      </c>
    </row>
    <row r="37" spans="1:20" ht="13.5">
      <c r="A37" s="18"/>
      <c r="B37" s="13"/>
      <c r="C37" s="13"/>
      <c r="D37" s="13"/>
      <c r="E37" s="30"/>
      <c r="F37" s="253"/>
      <c r="G37" s="254"/>
      <c r="H37" s="70"/>
      <c r="I37" s="70"/>
      <c r="J37" s="255"/>
      <c r="K37" s="256">
        <f t="shared" si="3"/>
        <v>0</v>
      </c>
      <c r="L37" s="256"/>
      <c r="M37" s="257">
        <f t="shared" si="4"/>
        <v>0</v>
      </c>
      <c r="N37" s="258"/>
      <c r="O37" s="259"/>
      <c r="P37" s="260"/>
      <c r="Q37" s="260"/>
      <c r="R37" s="261"/>
      <c r="T37" s="129">
        <f t="shared" si="5"/>
      </c>
    </row>
    <row r="38" spans="1:20" ht="13.5">
      <c r="A38" s="18" t="s">
        <v>173</v>
      </c>
      <c r="B38" s="13" t="s">
        <v>172</v>
      </c>
      <c r="C38" s="13" t="s">
        <v>176</v>
      </c>
      <c r="D38" s="13"/>
      <c r="E38" s="30"/>
      <c r="F38" s="253"/>
      <c r="G38" s="254"/>
      <c r="H38" s="70"/>
      <c r="I38" s="70"/>
      <c r="J38" s="255"/>
      <c r="K38" s="256">
        <f t="shared" si="3"/>
        <v>0</v>
      </c>
      <c r="L38" s="256"/>
      <c r="M38" s="257">
        <f t="shared" si="4"/>
        <v>0</v>
      </c>
      <c r="N38" s="258"/>
      <c r="O38" s="259"/>
      <c r="P38" s="260"/>
      <c r="Q38" s="260"/>
      <c r="R38" s="267"/>
      <c r="T38" s="129">
        <f t="shared" si="5"/>
      </c>
    </row>
    <row r="39" spans="1:20" ht="13.5">
      <c r="A39" s="18"/>
      <c r="B39" s="13"/>
      <c r="C39" s="13" t="s">
        <v>174</v>
      </c>
      <c r="D39" s="13"/>
      <c r="E39" s="30"/>
      <c r="F39" s="263">
        <v>40</v>
      </c>
      <c r="G39" s="254"/>
      <c r="H39" s="70">
        <v>1.2</v>
      </c>
      <c r="I39" s="82">
        <v>2.6</v>
      </c>
      <c r="J39" s="268">
        <v>30</v>
      </c>
      <c r="K39" s="256">
        <f t="shared" si="3"/>
        <v>0.08</v>
      </c>
      <c r="L39" s="264">
        <v>2.6</v>
      </c>
      <c r="M39" s="257">
        <f t="shared" si="4"/>
        <v>2.68</v>
      </c>
      <c r="N39" s="269"/>
      <c r="O39" s="259">
        <f>(4/T39)*H39/1000</f>
        <v>0.9549296585513721</v>
      </c>
      <c r="P39" s="270"/>
      <c r="Q39" s="270"/>
      <c r="R39" s="271"/>
      <c r="T39" s="129">
        <f t="shared" si="5"/>
        <v>0.005026548245743669</v>
      </c>
    </row>
    <row r="40" spans="1:20" ht="13.5">
      <c r="A40" s="18"/>
      <c r="B40" s="13"/>
      <c r="C40" s="13" t="s">
        <v>175</v>
      </c>
      <c r="D40" s="13"/>
      <c r="E40" s="30"/>
      <c r="F40" s="263">
        <v>40</v>
      </c>
      <c r="G40" s="254">
        <v>1</v>
      </c>
      <c r="H40" s="70">
        <v>1.2</v>
      </c>
      <c r="I40" s="82">
        <v>1</v>
      </c>
      <c r="J40" s="268">
        <v>30</v>
      </c>
      <c r="K40" s="256">
        <f t="shared" si="3"/>
        <v>0.03</v>
      </c>
      <c r="L40" s="264"/>
      <c r="M40" s="257">
        <f t="shared" si="4"/>
        <v>0.03</v>
      </c>
      <c r="N40" s="269"/>
      <c r="O40" s="272"/>
      <c r="P40" s="270"/>
      <c r="Q40" s="270"/>
      <c r="R40" s="271"/>
      <c r="T40" s="129">
        <f t="shared" si="5"/>
        <v>0.005026548245743669</v>
      </c>
    </row>
    <row r="41" spans="1:20" ht="13.5">
      <c r="A41" s="18"/>
      <c r="B41" s="13"/>
      <c r="C41" s="13"/>
      <c r="D41" s="13"/>
      <c r="E41" s="30"/>
      <c r="F41" s="263"/>
      <c r="G41" s="254"/>
      <c r="H41" s="70"/>
      <c r="I41" s="82"/>
      <c r="J41" s="268"/>
      <c r="K41" s="256"/>
      <c r="L41" s="264"/>
      <c r="M41" s="257"/>
      <c r="N41" s="269"/>
      <c r="O41" s="272"/>
      <c r="P41" s="270"/>
      <c r="Q41" s="270"/>
      <c r="R41" s="271"/>
      <c r="T41" s="129">
        <f t="shared" si="5"/>
      </c>
    </row>
    <row r="42" spans="1:20" ht="13.5">
      <c r="A42" s="18" t="s">
        <v>176</v>
      </c>
      <c r="B42" s="13" t="s">
        <v>172</v>
      </c>
      <c r="C42" s="13" t="s">
        <v>178</v>
      </c>
      <c r="D42" s="13"/>
      <c r="E42" s="30"/>
      <c r="F42" s="263"/>
      <c r="G42" s="254"/>
      <c r="H42" s="70"/>
      <c r="I42" s="82"/>
      <c r="J42" s="268"/>
      <c r="K42" s="256"/>
      <c r="L42" s="264"/>
      <c r="M42" s="257"/>
      <c r="N42" s="269"/>
      <c r="O42" s="272"/>
      <c r="P42" s="270"/>
      <c r="Q42" s="270"/>
      <c r="R42" s="271"/>
      <c r="T42" s="129">
        <f t="shared" si="5"/>
      </c>
    </row>
    <row r="43" spans="1:20" ht="13.5">
      <c r="A43" s="18"/>
      <c r="B43" s="13"/>
      <c r="C43" s="13" t="s">
        <v>174</v>
      </c>
      <c r="D43" s="13"/>
      <c r="E43" s="30"/>
      <c r="F43" s="263">
        <v>25</v>
      </c>
      <c r="G43" s="254"/>
      <c r="H43" s="70">
        <v>0.6</v>
      </c>
      <c r="I43" s="82">
        <v>3.6</v>
      </c>
      <c r="J43" s="268">
        <v>95</v>
      </c>
      <c r="K43" s="256">
        <f>ROUND((I43*J43)/1000,2)</f>
        <v>0.34</v>
      </c>
      <c r="L43" s="264">
        <v>2.6</v>
      </c>
      <c r="M43" s="257">
        <f>SUM(K43:L43)</f>
        <v>2.94</v>
      </c>
      <c r="N43" s="269"/>
      <c r="O43" s="259">
        <f>(4/T43)*H43/1000</f>
        <v>1.2223099629457561</v>
      </c>
      <c r="P43" s="270"/>
      <c r="Q43" s="270"/>
      <c r="R43" s="271"/>
      <c r="T43" s="129">
        <f t="shared" si="5"/>
        <v>0.001963495408493621</v>
      </c>
    </row>
    <row r="44" spans="1:20" ht="13.5">
      <c r="A44" s="18"/>
      <c r="B44" s="13"/>
      <c r="C44" s="13" t="s">
        <v>177</v>
      </c>
      <c r="D44" s="13"/>
      <c r="E44" s="30"/>
      <c r="F44" s="263">
        <v>25</v>
      </c>
      <c r="G44" s="254">
        <v>1</v>
      </c>
      <c r="H44" s="70">
        <v>0.6</v>
      </c>
      <c r="I44" s="82">
        <v>1</v>
      </c>
      <c r="J44" s="268">
        <v>95</v>
      </c>
      <c r="K44" s="256">
        <f>ROUND((I44*J44)/1000,2)</f>
        <v>0.1</v>
      </c>
      <c r="L44" s="264"/>
      <c r="M44" s="257">
        <f>SUM(K44:L44)</f>
        <v>0.1</v>
      </c>
      <c r="N44" s="269"/>
      <c r="O44" s="272"/>
      <c r="P44" s="270"/>
      <c r="Q44" s="270"/>
      <c r="R44" s="271"/>
      <c r="T44" s="129">
        <f t="shared" si="5"/>
        <v>0.001963495408493621</v>
      </c>
    </row>
    <row r="45" spans="1:20" ht="13.5">
      <c r="A45" s="18"/>
      <c r="B45" s="13"/>
      <c r="C45" s="13" t="s">
        <v>175</v>
      </c>
      <c r="D45" s="13"/>
      <c r="E45" s="30"/>
      <c r="F45" s="253">
        <v>25</v>
      </c>
      <c r="G45" s="254">
        <v>1</v>
      </c>
      <c r="H45" s="70">
        <v>0.6</v>
      </c>
      <c r="I45" s="70">
        <v>1</v>
      </c>
      <c r="J45" s="268">
        <v>95</v>
      </c>
      <c r="K45" s="256">
        <f>ROUND((I45*J45)/1000,2)</f>
        <v>0.1</v>
      </c>
      <c r="L45" s="256"/>
      <c r="M45" s="257">
        <f>SUM(K45:L45)</f>
        <v>0.1</v>
      </c>
      <c r="N45" s="258"/>
      <c r="O45" s="259"/>
      <c r="P45" s="273"/>
      <c r="Q45" s="260"/>
      <c r="R45" s="261"/>
      <c r="T45" s="129">
        <f t="shared" si="5"/>
        <v>0.001963495408493621</v>
      </c>
    </row>
    <row r="46" spans="1:20" ht="13.5">
      <c r="A46" s="18"/>
      <c r="B46" s="13"/>
      <c r="C46" s="13"/>
      <c r="D46" s="13"/>
      <c r="E46" s="30"/>
      <c r="F46" s="253"/>
      <c r="G46" s="254"/>
      <c r="H46" s="70"/>
      <c r="I46" s="70"/>
      <c r="J46" s="255"/>
      <c r="K46" s="256"/>
      <c r="L46" s="256"/>
      <c r="M46" s="257"/>
      <c r="N46" s="258"/>
      <c r="O46" s="259"/>
      <c r="P46" s="260"/>
      <c r="Q46" s="260"/>
      <c r="R46" s="261"/>
      <c r="T46" s="129">
        <f t="shared" si="5"/>
      </c>
    </row>
    <row r="47" spans="1:20" ht="13.5">
      <c r="A47" s="18" t="s">
        <v>146</v>
      </c>
      <c r="B47" s="13" t="s">
        <v>47</v>
      </c>
      <c r="C47" s="13" t="s">
        <v>49</v>
      </c>
      <c r="D47" s="13"/>
      <c r="E47" s="30"/>
      <c r="F47" s="253"/>
      <c r="G47" s="254"/>
      <c r="H47" s="70"/>
      <c r="I47" s="70"/>
      <c r="J47" s="255"/>
      <c r="K47" s="256"/>
      <c r="L47" s="256"/>
      <c r="M47" s="257"/>
      <c r="N47" s="258"/>
      <c r="O47" s="259"/>
      <c r="P47" s="260"/>
      <c r="Q47" s="260"/>
      <c r="R47" s="261"/>
      <c r="T47" s="129">
        <f t="shared" si="5"/>
      </c>
    </row>
    <row r="48" spans="1:20" ht="13.5">
      <c r="A48" s="18"/>
      <c r="B48" s="13"/>
      <c r="C48" s="13" t="s">
        <v>174</v>
      </c>
      <c r="D48" s="13"/>
      <c r="E48" s="30"/>
      <c r="F48" s="274">
        <v>20</v>
      </c>
      <c r="G48" s="275"/>
      <c r="H48" s="104">
        <v>0.33</v>
      </c>
      <c r="I48" s="70">
        <v>4.5</v>
      </c>
      <c r="J48" s="276">
        <v>79</v>
      </c>
      <c r="K48" s="256">
        <f aca="true" t="shared" si="6" ref="K48:K53">ROUND((I48*J48)/1000,2)</f>
        <v>0.36</v>
      </c>
      <c r="L48" s="277">
        <v>-0.9</v>
      </c>
      <c r="M48" s="257">
        <f aca="true" t="shared" si="7" ref="M48:M53">SUM(K48:L48)</f>
        <v>-0.54</v>
      </c>
      <c r="N48" s="278"/>
      <c r="O48" s="259">
        <f>(4/T48)*H48/1000</f>
        <v>1.0504226244065094</v>
      </c>
      <c r="P48" s="260"/>
      <c r="Q48" s="260"/>
      <c r="R48" s="261"/>
      <c r="T48" s="129">
        <f t="shared" si="5"/>
        <v>0.0012566370614359172</v>
      </c>
    </row>
    <row r="49" spans="1:20" ht="13.5">
      <c r="A49" s="18"/>
      <c r="B49" s="13"/>
      <c r="C49" s="13" t="s">
        <v>177</v>
      </c>
      <c r="D49" s="13"/>
      <c r="E49" s="30"/>
      <c r="F49" s="274" t="s">
        <v>179</v>
      </c>
      <c r="G49" s="275">
        <v>1</v>
      </c>
      <c r="H49" s="104">
        <v>0.33</v>
      </c>
      <c r="I49" s="70">
        <v>0.5</v>
      </c>
      <c r="J49" s="276">
        <v>79</v>
      </c>
      <c r="K49" s="256">
        <f t="shared" si="6"/>
        <v>0.04</v>
      </c>
      <c r="L49" s="277"/>
      <c r="M49" s="257">
        <f t="shared" si="7"/>
        <v>0.04</v>
      </c>
      <c r="N49" s="258"/>
      <c r="O49" s="259"/>
      <c r="P49" s="260"/>
      <c r="Q49" s="260"/>
      <c r="R49" s="261"/>
      <c r="T49" s="129" t="e">
        <f t="shared" si="5"/>
        <v>#VALUE!</v>
      </c>
    </row>
    <row r="50" spans="1:20" ht="13.5">
      <c r="A50" s="18"/>
      <c r="B50" s="13"/>
      <c r="C50" s="13" t="s">
        <v>65</v>
      </c>
      <c r="D50" s="13"/>
      <c r="E50" s="30"/>
      <c r="F50" s="274">
        <v>20</v>
      </c>
      <c r="G50" s="275">
        <v>1</v>
      </c>
      <c r="H50" s="104">
        <v>0.33</v>
      </c>
      <c r="I50" s="104">
        <v>0.5</v>
      </c>
      <c r="J50" s="276">
        <v>79</v>
      </c>
      <c r="K50" s="256">
        <f t="shared" si="6"/>
        <v>0.04</v>
      </c>
      <c r="L50" s="277"/>
      <c r="M50" s="257">
        <f t="shared" si="7"/>
        <v>0.04</v>
      </c>
      <c r="N50" s="258"/>
      <c r="O50" s="259"/>
      <c r="P50" s="260"/>
      <c r="Q50" s="260"/>
      <c r="R50" s="261"/>
      <c r="T50" s="129">
        <f t="shared" si="5"/>
        <v>0.0012566370614359172</v>
      </c>
    </row>
    <row r="51" spans="1:20" ht="13.5">
      <c r="A51" s="18"/>
      <c r="B51" s="13"/>
      <c r="C51" s="13" t="s">
        <v>147</v>
      </c>
      <c r="D51" s="13"/>
      <c r="E51" s="30"/>
      <c r="F51" s="274">
        <v>20</v>
      </c>
      <c r="G51" s="275">
        <v>1</v>
      </c>
      <c r="H51" s="104">
        <v>0.33</v>
      </c>
      <c r="I51" s="104">
        <v>8.5</v>
      </c>
      <c r="J51" s="276">
        <v>79</v>
      </c>
      <c r="K51" s="256">
        <f t="shared" si="6"/>
        <v>0.67</v>
      </c>
      <c r="L51" s="277"/>
      <c r="M51" s="257">
        <f t="shared" si="7"/>
        <v>0.67</v>
      </c>
      <c r="N51" s="278"/>
      <c r="O51" s="259"/>
      <c r="P51" s="260"/>
      <c r="Q51" s="260"/>
      <c r="R51" s="261"/>
      <c r="T51" s="129">
        <f t="shared" si="5"/>
        <v>0.0012566370614359172</v>
      </c>
    </row>
    <row r="52" spans="1:20" ht="13.5">
      <c r="A52" s="18"/>
      <c r="B52" s="13"/>
      <c r="C52" s="13" t="s">
        <v>133</v>
      </c>
      <c r="D52" s="13"/>
      <c r="E52" s="30"/>
      <c r="F52" s="274">
        <v>20</v>
      </c>
      <c r="G52" s="275">
        <v>1</v>
      </c>
      <c r="H52" s="104">
        <v>0.33</v>
      </c>
      <c r="I52" s="104">
        <v>8</v>
      </c>
      <c r="J52" s="276">
        <v>79</v>
      </c>
      <c r="K52" s="256">
        <f t="shared" si="6"/>
        <v>0.63</v>
      </c>
      <c r="L52" s="277"/>
      <c r="M52" s="257">
        <f t="shared" si="7"/>
        <v>0.63</v>
      </c>
      <c r="N52" s="278"/>
      <c r="O52" s="259"/>
      <c r="P52" s="260"/>
      <c r="Q52" s="260"/>
      <c r="R52" s="279"/>
      <c r="T52" s="129">
        <f t="shared" si="5"/>
        <v>0.0012566370614359172</v>
      </c>
    </row>
    <row r="53" spans="1:20" ht="13.5">
      <c r="A53" s="18"/>
      <c r="B53" s="13"/>
      <c r="C53" s="13" t="s">
        <v>135</v>
      </c>
      <c r="D53" s="13"/>
      <c r="E53" s="30"/>
      <c r="F53" s="274">
        <v>20</v>
      </c>
      <c r="G53" s="275">
        <v>8</v>
      </c>
      <c r="H53" s="104">
        <v>0.33</v>
      </c>
      <c r="I53" s="104">
        <v>4</v>
      </c>
      <c r="J53" s="276">
        <v>79</v>
      </c>
      <c r="K53" s="256">
        <f t="shared" si="6"/>
        <v>0.32</v>
      </c>
      <c r="L53" s="277"/>
      <c r="M53" s="257">
        <f t="shared" si="7"/>
        <v>0.32</v>
      </c>
      <c r="N53" s="278"/>
      <c r="O53" s="259"/>
      <c r="P53" s="260"/>
      <c r="Q53" s="260"/>
      <c r="R53" s="280"/>
      <c r="T53" s="129">
        <f t="shared" si="5"/>
        <v>0.0012566370614359172</v>
      </c>
    </row>
    <row r="54" spans="1:20" ht="13.5">
      <c r="A54" s="18"/>
      <c r="B54" s="13"/>
      <c r="C54" s="13"/>
      <c r="D54" s="13"/>
      <c r="E54" s="30"/>
      <c r="F54" s="274"/>
      <c r="G54" s="275"/>
      <c r="H54" s="104"/>
      <c r="I54" s="104"/>
      <c r="J54" s="276"/>
      <c r="K54" s="199"/>
      <c r="L54" s="277"/>
      <c r="M54" s="92"/>
      <c r="N54" s="210"/>
      <c r="O54" s="259"/>
      <c r="P54" s="260"/>
      <c r="Q54" s="260"/>
      <c r="R54" s="261"/>
      <c r="T54" s="129">
        <f t="shared" si="5"/>
      </c>
    </row>
    <row r="55" spans="1:20" ht="13.5">
      <c r="A55" s="18" t="s">
        <v>49</v>
      </c>
      <c r="B55" s="13" t="s">
        <v>47</v>
      </c>
      <c r="C55" s="13" t="s">
        <v>50</v>
      </c>
      <c r="D55" s="13"/>
      <c r="E55" s="30"/>
      <c r="F55" s="274"/>
      <c r="G55" s="275"/>
      <c r="H55" s="104"/>
      <c r="I55" s="104"/>
      <c r="J55" s="276"/>
      <c r="K55" s="199"/>
      <c r="L55" s="277"/>
      <c r="M55" s="92"/>
      <c r="N55" s="210"/>
      <c r="O55" s="259"/>
      <c r="P55" s="260"/>
      <c r="Q55" s="260"/>
      <c r="R55" s="261"/>
      <c r="T55" s="129">
        <f t="shared" si="5"/>
      </c>
    </row>
    <row r="56" spans="1:20" ht="13.5">
      <c r="A56" s="18"/>
      <c r="B56" s="13"/>
      <c r="C56" s="13" t="s">
        <v>180</v>
      </c>
      <c r="D56" s="13"/>
      <c r="E56" s="30"/>
      <c r="F56" s="274">
        <v>20</v>
      </c>
      <c r="G56" s="275"/>
      <c r="H56" s="104">
        <v>0.33</v>
      </c>
      <c r="I56" s="104">
        <v>2.1</v>
      </c>
      <c r="J56" s="276">
        <v>79</v>
      </c>
      <c r="K56" s="256">
        <f>ROUND((I56*J56)/1000,2)</f>
        <v>0.17</v>
      </c>
      <c r="L56" s="277"/>
      <c r="M56" s="257">
        <f>SUM(K56:L56)</f>
        <v>0.17</v>
      </c>
      <c r="N56" s="210"/>
      <c r="O56" s="259">
        <f>(4/T56)*H56/1000</f>
        <v>1.0504226244065094</v>
      </c>
      <c r="P56" s="260"/>
      <c r="Q56" s="260"/>
      <c r="R56" s="261"/>
      <c r="T56" s="129">
        <f t="shared" si="5"/>
        <v>0.0012566370614359172</v>
      </c>
    </row>
    <row r="57" spans="1:20" ht="13.5">
      <c r="A57" s="18"/>
      <c r="B57" s="13"/>
      <c r="C57" s="13" t="s">
        <v>137</v>
      </c>
      <c r="D57" s="13"/>
      <c r="E57" s="30"/>
      <c r="F57" s="253">
        <v>20</v>
      </c>
      <c r="G57" s="254">
        <v>1</v>
      </c>
      <c r="H57" s="104">
        <v>0.33</v>
      </c>
      <c r="I57" s="70">
        <v>0.5</v>
      </c>
      <c r="J57" s="276">
        <v>79</v>
      </c>
      <c r="K57" s="256">
        <f>ROUND((I57*J57)/1000,2)</f>
        <v>0.04</v>
      </c>
      <c r="L57" s="256"/>
      <c r="M57" s="257">
        <f>SUM(K57:L57)</f>
        <v>0.04</v>
      </c>
      <c r="N57" s="258"/>
      <c r="O57" s="259"/>
      <c r="P57" s="260"/>
      <c r="Q57" s="260"/>
      <c r="R57" s="261"/>
      <c r="T57" s="129">
        <f t="shared" si="5"/>
        <v>0.0012566370614359172</v>
      </c>
    </row>
    <row r="58" spans="1:20" ht="13.5">
      <c r="A58" s="18"/>
      <c r="B58" s="13"/>
      <c r="C58" s="107"/>
      <c r="D58" s="13"/>
      <c r="E58" s="30"/>
      <c r="F58" s="253"/>
      <c r="G58" s="254"/>
      <c r="H58" s="70"/>
      <c r="I58" s="82"/>
      <c r="J58" s="255"/>
      <c r="K58" s="256"/>
      <c r="L58" s="256"/>
      <c r="M58" s="257"/>
      <c r="N58" s="258"/>
      <c r="O58" s="259"/>
      <c r="P58" s="260"/>
      <c r="Q58" s="260"/>
      <c r="R58" s="261"/>
      <c r="T58" s="129">
        <f t="shared" si="5"/>
      </c>
    </row>
    <row r="59" spans="1:20" ht="13.5">
      <c r="A59" s="18" t="s">
        <v>50</v>
      </c>
      <c r="B59" s="13" t="s">
        <v>47</v>
      </c>
      <c r="C59" s="13" t="s">
        <v>123</v>
      </c>
      <c r="D59" s="13"/>
      <c r="E59" s="30"/>
      <c r="F59" s="253"/>
      <c r="G59" s="254"/>
      <c r="H59" s="70"/>
      <c r="I59" s="82"/>
      <c r="J59" s="255"/>
      <c r="K59" s="256"/>
      <c r="L59" s="256"/>
      <c r="M59" s="257"/>
      <c r="N59" s="258"/>
      <c r="O59" s="259"/>
      <c r="P59" s="260"/>
      <c r="Q59" s="260"/>
      <c r="R59" s="267"/>
      <c r="T59" s="129">
        <f t="shared" si="5"/>
      </c>
    </row>
    <row r="60" spans="1:20" ht="13.5">
      <c r="A60" s="18"/>
      <c r="B60" s="13"/>
      <c r="C60" s="13" t="s">
        <v>180</v>
      </c>
      <c r="D60" s="13"/>
      <c r="E60" s="30"/>
      <c r="F60" s="253">
        <v>20</v>
      </c>
      <c r="G60" s="254"/>
      <c r="H60" s="70">
        <v>0.13</v>
      </c>
      <c r="I60" s="82">
        <v>4.5</v>
      </c>
      <c r="J60" s="255">
        <v>17</v>
      </c>
      <c r="K60" s="256">
        <f>ROUND((I60*J60)/1000,2)</f>
        <v>0.08</v>
      </c>
      <c r="L60" s="256">
        <v>1.4</v>
      </c>
      <c r="M60" s="257">
        <f>SUM(K60:L60)</f>
        <v>1.48</v>
      </c>
      <c r="N60" s="258"/>
      <c r="O60" s="259">
        <f>(4/T60)*H60/1000</f>
        <v>0.4138028520389279</v>
      </c>
      <c r="P60" s="260"/>
      <c r="Q60" s="260"/>
      <c r="R60" s="267"/>
      <c r="T60" s="129">
        <f t="shared" si="5"/>
        <v>0.0012566370614359172</v>
      </c>
    </row>
    <row r="61" spans="1:20" ht="13.5">
      <c r="A61" s="18"/>
      <c r="B61" s="13"/>
      <c r="C61" s="13" t="s">
        <v>145</v>
      </c>
      <c r="D61" s="13"/>
      <c r="E61" s="30"/>
      <c r="F61" s="253" t="s">
        <v>149</v>
      </c>
      <c r="G61" s="254">
        <v>1</v>
      </c>
      <c r="H61" s="70">
        <v>0.13</v>
      </c>
      <c r="I61" s="82">
        <v>0.5</v>
      </c>
      <c r="J61" s="255">
        <v>17</v>
      </c>
      <c r="K61" s="256">
        <f>ROUND((I61*J61)/1000,2)</f>
        <v>0.01</v>
      </c>
      <c r="L61" s="256"/>
      <c r="M61" s="257">
        <f>SUM(K61:L61)</f>
        <v>0.01</v>
      </c>
      <c r="N61" s="258"/>
      <c r="O61" s="259"/>
      <c r="P61" s="260"/>
      <c r="Q61" s="260"/>
      <c r="R61" s="267"/>
      <c r="T61" s="129" t="e">
        <f t="shared" si="5"/>
        <v>#VALUE!</v>
      </c>
    </row>
    <row r="62" spans="1:20" ht="13.5">
      <c r="A62" s="18"/>
      <c r="B62" s="13"/>
      <c r="C62" s="13" t="s">
        <v>135</v>
      </c>
      <c r="D62" s="13"/>
      <c r="E62" s="30"/>
      <c r="F62" s="253">
        <v>20</v>
      </c>
      <c r="G62" s="254">
        <v>5</v>
      </c>
      <c r="H62" s="70">
        <v>0.13</v>
      </c>
      <c r="I62" s="82">
        <v>2.5</v>
      </c>
      <c r="J62" s="255">
        <v>17</v>
      </c>
      <c r="K62" s="256">
        <f>ROUND((I62*J62)/1000,2)</f>
        <v>0.04</v>
      </c>
      <c r="L62" s="256"/>
      <c r="M62" s="257">
        <f>SUM(K62:L62)</f>
        <v>0.04</v>
      </c>
      <c r="N62" s="258"/>
      <c r="O62" s="259"/>
      <c r="P62" s="260"/>
      <c r="Q62" s="260"/>
      <c r="R62" s="267"/>
      <c r="T62" s="129">
        <f t="shared" si="5"/>
        <v>0.0012566370614359172</v>
      </c>
    </row>
    <row r="63" spans="1:20" ht="13.5">
      <c r="A63" s="18"/>
      <c r="B63" s="13"/>
      <c r="C63" s="13" t="s">
        <v>148</v>
      </c>
      <c r="D63" s="13"/>
      <c r="E63" s="30"/>
      <c r="F63" s="253">
        <v>13</v>
      </c>
      <c r="G63" s="254">
        <v>1</v>
      </c>
      <c r="H63" s="70">
        <v>0.13</v>
      </c>
      <c r="I63" s="71">
        <v>3</v>
      </c>
      <c r="J63" s="255">
        <v>113</v>
      </c>
      <c r="K63" s="256">
        <f>ROUND((I63*J63)/1000,2)</f>
        <v>0.34</v>
      </c>
      <c r="L63" s="256"/>
      <c r="M63" s="257">
        <f>SUM(K63:L63)</f>
        <v>0.34</v>
      </c>
      <c r="N63" s="258"/>
      <c r="O63" s="259"/>
      <c r="P63" s="260"/>
      <c r="Q63" s="260"/>
      <c r="R63" s="267"/>
      <c r="T63" s="129">
        <f t="shared" si="5"/>
        <v>0.0005309291584566749</v>
      </c>
    </row>
    <row r="64" spans="1:20" ht="13.5">
      <c r="A64" s="18"/>
      <c r="B64" s="13"/>
      <c r="C64" s="13"/>
      <c r="D64" s="13"/>
      <c r="E64" s="30"/>
      <c r="F64" s="253"/>
      <c r="G64" s="254"/>
      <c r="H64" s="70"/>
      <c r="I64" s="71"/>
      <c r="J64" s="255"/>
      <c r="K64" s="256"/>
      <c r="L64" s="256"/>
      <c r="M64" s="257"/>
      <c r="N64" s="258"/>
      <c r="O64" s="259"/>
      <c r="P64" s="260"/>
      <c r="Q64" s="260"/>
      <c r="R64" s="267"/>
      <c r="T64" s="129">
        <f t="shared" si="5"/>
      </c>
    </row>
    <row r="65" spans="1:20" ht="13.5">
      <c r="A65" s="18"/>
      <c r="B65" s="13"/>
      <c r="C65" s="13"/>
      <c r="D65" s="13"/>
      <c r="E65" s="30"/>
      <c r="F65" s="253"/>
      <c r="G65" s="254"/>
      <c r="H65" s="70"/>
      <c r="I65" s="71"/>
      <c r="J65" s="255"/>
      <c r="K65" s="256"/>
      <c r="L65" s="256"/>
      <c r="M65" s="257"/>
      <c r="N65" s="258"/>
      <c r="O65" s="259"/>
      <c r="P65" s="260"/>
      <c r="Q65" s="260"/>
      <c r="R65" s="267"/>
      <c r="T65" s="129">
        <f t="shared" si="5"/>
      </c>
    </row>
    <row r="66" spans="1:20" ht="13.5">
      <c r="A66" s="20"/>
      <c r="B66" s="12"/>
      <c r="C66" s="13" t="s">
        <v>119</v>
      </c>
      <c r="D66" s="13"/>
      <c r="E66" s="30"/>
      <c r="F66" s="253"/>
      <c r="G66" s="254"/>
      <c r="H66" s="71"/>
      <c r="I66" s="71"/>
      <c r="J66" s="255"/>
      <c r="K66" s="256"/>
      <c r="L66" s="256">
        <f>SUM(L20:L65)</f>
        <v>9.2</v>
      </c>
      <c r="M66" s="256">
        <f>SUM(M20:M65)</f>
        <v>22.890000000000008</v>
      </c>
      <c r="N66" s="281"/>
      <c r="O66" s="259"/>
      <c r="P66" s="260"/>
      <c r="Q66" s="260"/>
      <c r="R66" s="267"/>
      <c r="T66" s="129">
        <f t="shared" si="5"/>
      </c>
    </row>
    <row r="67" spans="1:20" ht="13.5">
      <c r="A67" s="20"/>
      <c r="B67" s="12"/>
      <c r="C67" s="13"/>
      <c r="D67" s="13"/>
      <c r="E67" s="30"/>
      <c r="F67" s="253"/>
      <c r="G67" s="254"/>
      <c r="H67" s="71"/>
      <c r="I67" s="71"/>
      <c r="J67" s="255"/>
      <c r="K67" s="256"/>
      <c r="L67" s="256"/>
      <c r="M67" s="256"/>
      <c r="N67" s="281"/>
      <c r="O67" s="259"/>
      <c r="P67" s="260"/>
      <c r="Q67" s="260"/>
      <c r="R67" s="279"/>
      <c r="T67" s="129">
        <f t="shared" si="5"/>
      </c>
    </row>
    <row r="68" spans="1:20" ht="13.5">
      <c r="A68" s="20"/>
      <c r="B68" s="12"/>
      <c r="C68" s="13" t="s">
        <v>121</v>
      </c>
      <c r="D68" s="13"/>
      <c r="E68" s="30"/>
      <c r="F68" s="282"/>
      <c r="G68" s="254"/>
      <c r="H68" s="71"/>
      <c r="I68" s="71"/>
      <c r="J68" s="255"/>
      <c r="K68" s="256"/>
      <c r="L68" s="256"/>
      <c r="M68" s="256"/>
      <c r="N68" s="281"/>
      <c r="O68" s="259"/>
      <c r="P68" s="260"/>
      <c r="Q68" s="260"/>
      <c r="R68" s="280"/>
      <c r="T68" s="129">
        <f t="shared" si="5"/>
      </c>
    </row>
    <row r="69" spans="1:20" ht="13.5">
      <c r="A69" s="20"/>
      <c r="B69" s="12"/>
      <c r="C69" s="13"/>
      <c r="D69" s="13"/>
      <c r="E69" s="30"/>
      <c r="F69" s="283"/>
      <c r="G69" s="254"/>
      <c r="H69" s="71"/>
      <c r="I69" s="71"/>
      <c r="J69" s="255"/>
      <c r="K69" s="256"/>
      <c r="L69" s="256"/>
      <c r="M69" s="256"/>
      <c r="N69" s="281"/>
      <c r="O69" s="259"/>
      <c r="P69" s="260"/>
      <c r="Q69" s="260"/>
      <c r="R69" s="267"/>
      <c r="T69" s="129">
        <f>IF(F69&gt;0,PI()*(F69/1000)^2,"")</f>
      </c>
    </row>
    <row r="70" spans="1:20" ht="14.25" thickBot="1">
      <c r="A70" s="20"/>
      <c r="B70" s="12"/>
      <c r="C70" s="111" t="s">
        <v>70</v>
      </c>
      <c r="D70" s="13"/>
      <c r="E70" s="31"/>
      <c r="F70" s="284"/>
      <c r="G70" s="285"/>
      <c r="H70" s="72"/>
      <c r="I70" s="72"/>
      <c r="J70" s="286"/>
      <c r="K70" s="200"/>
      <c r="L70" s="287"/>
      <c r="M70" s="204">
        <f>SUM(M66:M69)</f>
        <v>22.890000000000008</v>
      </c>
      <c r="N70" s="288"/>
      <c r="O70" s="289"/>
      <c r="P70" s="485"/>
      <c r="Q70" s="485"/>
      <c r="R70" s="486"/>
      <c r="T70" s="300" t="s">
        <v>72</v>
      </c>
    </row>
    <row r="71" spans="1:20" ht="14.25" thickBot="1">
      <c r="A71" s="489" t="s">
        <v>37</v>
      </c>
      <c r="B71" s="490"/>
      <c r="C71" s="490"/>
      <c r="D71" s="490"/>
      <c r="E71" s="491"/>
      <c r="F71" s="121">
        <f>+M70</f>
        <v>22.890000000000008</v>
      </c>
      <c r="G71" s="32" t="s">
        <v>112</v>
      </c>
      <c r="H71" s="122">
        <f>ROUND(F71*0.0098,2)</f>
        <v>0.22</v>
      </c>
      <c r="I71" s="32" t="str">
        <f>IF(J71&gt;H71,"&gt;","&lt;")</f>
        <v>&gt;</v>
      </c>
      <c r="J71" s="290">
        <v>0.25</v>
      </c>
      <c r="K71" s="291" t="s">
        <v>37</v>
      </c>
      <c r="L71" s="493" t="str">
        <f>25.5&amp;"-"&amp;M70</f>
        <v>25.5-22.89</v>
      </c>
      <c r="M71" s="493"/>
      <c r="N71" s="292" t="s">
        <v>181</v>
      </c>
      <c r="O71" s="157">
        <f>25.5-F71</f>
        <v>2.6099999999999923</v>
      </c>
      <c r="P71" s="157"/>
      <c r="Q71" s="157"/>
      <c r="R71" s="158"/>
      <c r="T71" s="304" t="str">
        <f>IF(I71="&gt;","OK!","×")</f>
        <v>OK!</v>
      </c>
    </row>
    <row r="72" spans="1:18" ht="13.5">
      <c r="A72" s="20"/>
      <c r="B72" s="12"/>
      <c r="C72" s="12"/>
      <c r="D72" s="12"/>
      <c r="E72" s="12"/>
      <c r="F72" s="13"/>
      <c r="G72" s="13"/>
      <c r="H72" s="13"/>
      <c r="I72" s="13"/>
      <c r="J72" s="233"/>
      <c r="K72" s="233"/>
      <c r="L72" s="233"/>
      <c r="M72" s="233"/>
      <c r="N72" s="233"/>
      <c r="O72" s="233"/>
      <c r="P72" s="233"/>
      <c r="Q72" s="233"/>
      <c r="R72" s="236"/>
    </row>
    <row r="73" spans="1:18" ht="13.5">
      <c r="A73" s="487" t="s">
        <v>32</v>
      </c>
      <c r="B73" s="488"/>
      <c r="C73" s="488"/>
      <c r="D73" s="488"/>
      <c r="E73" s="488"/>
      <c r="F73" s="488"/>
      <c r="G73" s="293">
        <v>0.25</v>
      </c>
      <c r="H73" s="233" t="s">
        <v>182</v>
      </c>
      <c r="I73" s="162">
        <v>4</v>
      </c>
      <c r="J73" s="233" t="s">
        <v>182</v>
      </c>
      <c r="K73" s="201">
        <v>12</v>
      </c>
      <c r="L73" s="233" t="s">
        <v>183</v>
      </c>
      <c r="M73" s="203">
        <f>+G73*I73*K73</f>
        <v>12</v>
      </c>
      <c r="N73" s="16" t="s">
        <v>184</v>
      </c>
      <c r="O73" s="16"/>
      <c r="P73" s="16"/>
      <c r="Q73" s="16"/>
      <c r="R73" s="294"/>
    </row>
    <row r="74" spans="1:18" ht="13.5">
      <c r="A74" s="487"/>
      <c r="B74" s="488"/>
      <c r="C74" s="488"/>
      <c r="D74" s="488"/>
      <c r="E74" s="488"/>
      <c r="F74" s="488"/>
      <c r="G74" s="13"/>
      <c r="H74" s="16"/>
      <c r="I74" s="16"/>
      <c r="J74" s="295"/>
      <c r="K74" s="295"/>
      <c r="L74" s="295"/>
      <c r="M74" s="295"/>
      <c r="N74" s="295"/>
      <c r="O74" s="295"/>
      <c r="P74" s="295"/>
      <c r="Q74" s="295"/>
      <c r="R74" s="294"/>
    </row>
    <row r="75" spans="1:18" ht="13.5">
      <c r="A75" s="21"/>
      <c r="B75" s="22"/>
      <c r="C75" s="22"/>
      <c r="D75" s="22"/>
      <c r="E75" s="22"/>
      <c r="F75" s="23"/>
      <c r="G75" s="23"/>
      <c r="H75" s="24"/>
      <c r="I75" s="24"/>
      <c r="J75" s="296"/>
      <c r="K75" s="296"/>
      <c r="L75" s="296"/>
      <c r="M75" s="296"/>
      <c r="N75" s="296"/>
      <c r="O75" s="296"/>
      <c r="P75" s="296"/>
      <c r="Q75" s="296"/>
      <c r="R75" s="297"/>
    </row>
    <row r="76" spans="11:12" ht="13.5">
      <c r="K76" s="299"/>
      <c r="L76" s="299"/>
    </row>
    <row r="77" spans="11:12" ht="13.5">
      <c r="K77" s="299"/>
      <c r="L77" s="299"/>
    </row>
    <row r="78" spans="11:12" ht="13.5">
      <c r="K78" s="10"/>
      <c r="L78" s="10"/>
    </row>
    <row r="79" spans="11:12" ht="13.5">
      <c r="K79" s="10"/>
      <c r="L79" s="10"/>
    </row>
    <row r="80" spans="11:12" ht="13.5">
      <c r="K80" s="10"/>
      <c r="L80" s="10"/>
    </row>
    <row r="81" spans="11:12" ht="13.5">
      <c r="K81" s="10"/>
      <c r="L81" s="10"/>
    </row>
    <row r="82" spans="11:12" ht="13.5">
      <c r="K82" s="10"/>
      <c r="L82" s="10"/>
    </row>
    <row r="83" spans="11:12" ht="13.5">
      <c r="K83" s="10"/>
      <c r="L83" s="10"/>
    </row>
    <row r="84" spans="11:12" ht="13.5">
      <c r="K84" s="10"/>
      <c r="L84" s="10"/>
    </row>
    <row r="85" spans="11:12" ht="13.5">
      <c r="K85" s="10"/>
      <c r="L85" s="10"/>
    </row>
    <row r="86" spans="11:12" ht="13.5">
      <c r="K86" s="10"/>
      <c r="L86" s="10"/>
    </row>
    <row r="87" spans="11:12" ht="13.5">
      <c r="K87" s="10"/>
      <c r="L87" s="10"/>
    </row>
    <row r="88" spans="11:12" ht="13.5">
      <c r="K88" s="10"/>
      <c r="L88" s="10"/>
    </row>
  </sheetData>
  <sheetProtection/>
  <mergeCells count="9">
    <mergeCell ref="P70:R70"/>
    <mergeCell ref="A1:R1"/>
    <mergeCell ref="A18:E19"/>
    <mergeCell ref="A74:F74"/>
    <mergeCell ref="A71:E71"/>
    <mergeCell ref="L71:M71"/>
    <mergeCell ref="N18:O18"/>
    <mergeCell ref="N19:O19"/>
    <mergeCell ref="A73:F73"/>
  </mergeCells>
  <conditionalFormatting sqref="T71">
    <cfRule type="cellIs" priority="1" dxfId="13" operator="equal" stopIfTrue="1">
      <formula>"OK!"</formula>
    </cfRule>
    <cfRule type="cellIs" priority="2" dxfId="14" operator="equal" stopIfTrue="1">
      <formula>"×"</formula>
    </cfRule>
  </conditionalFormatting>
  <printOptions/>
  <pageMargins left="0.74" right="0.1968503937007874" top="0.6299212598425197" bottom="0.41" header="0.5118110236220472" footer="0.2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3">
      <selection activeCell="I72" sqref="I72"/>
    </sheetView>
  </sheetViews>
  <sheetFormatPr defaultColWidth="3.25390625" defaultRowHeight="13.5"/>
  <sheetData>
    <row r="1" ht="18" thickBot="1">
      <c r="A1" s="120" t="s">
        <v>76</v>
      </c>
    </row>
    <row r="2" spans="2:23" ht="14.25" thickBot="1">
      <c r="B2" t="s">
        <v>77</v>
      </c>
      <c r="U2" s="501" t="s">
        <v>78</v>
      </c>
      <c r="V2" s="502"/>
      <c r="W2" s="503"/>
    </row>
    <row r="3" ht="14.25" thickBot="1"/>
    <row r="4" spans="3:18" ht="14.25" thickBot="1">
      <c r="C4" s="35" t="s">
        <v>79</v>
      </c>
      <c r="D4" t="s">
        <v>80</v>
      </c>
      <c r="I4" t="s">
        <v>81</v>
      </c>
      <c r="M4" s="504" t="e">
        <f>+C15</f>
        <v>#NAME?</v>
      </c>
      <c r="N4" s="504"/>
      <c r="O4" s="1" t="s">
        <v>82</v>
      </c>
      <c r="P4" s="505" t="e">
        <f>+M4*1000</f>
        <v>#NAME?</v>
      </c>
      <c r="Q4" s="506"/>
      <c r="R4" t="s">
        <v>83</v>
      </c>
    </row>
    <row r="5" spans="3:21" ht="14.25" thickBot="1">
      <c r="C5" s="35" t="s">
        <v>84</v>
      </c>
      <c r="D5" t="s">
        <v>85</v>
      </c>
      <c r="I5" t="s">
        <v>86</v>
      </c>
      <c r="M5" s="507">
        <f>+C21</f>
        <v>2.01596</v>
      </c>
      <c r="N5" s="508"/>
      <c r="P5" s="129" t="str">
        <f>"√"&amp;M5</f>
        <v>√2.01596</v>
      </c>
      <c r="Q5" s="129"/>
      <c r="R5" s="129"/>
      <c r="S5" s="130" t="s">
        <v>87</v>
      </c>
      <c r="T5" s="509">
        <f>ROUND(SQRT(M5),4)</f>
        <v>1.4198</v>
      </c>
      <c r="U5" s="509"/>
    </row>
    <row r="6" spans="3:17" ht="14.25" thickBot="1">
      <c r="C6" s="35" t="s">
        <v>88</v>
      </c>
      <c r="D6" t="s">
        <v>89</v>
      </c>
      <c r="I6" t="s">
        <v>90</v>
      </c>
      <c r="M6" s="496">
        <v>1</v>
      </c>
      <c r="N6" s="496"/>
      <c r="Q6" s="1"/>
    </row>
    <row r="7" spans="3:23" ht="14.25" thickBot="1">
      <c r="C7" s="35" t="s">
        <v>91</v>
      </c>
      <c r="D7" t="s">
        <v>92</v>
      </c>
      <c r="I7" t="s">
        <v>93</v>
      </c>
      <c r="M7" s="497">
        <f>+U7/1000</f>
        <v>0.02</v>
      </c>
      <c r="N7" s="497"/>
      <c r="Q7" s="1"/>
      <c r="U7" s="510">
        <v>20</v>
      </c>
      <c r="V7" s="511"/>
      <c r="W7" t="s">
        <v>187</v>
      </c>
    </row>
    <row r="8" spans="3:19" ht="14.25" thickBot="1">
      <c r="C8" s="35" t="s">
        <v>94</v>
      </c>
      <c r="D8" t="s">
        <v>95</v>
      </c>
      <c r="I8" t="s">
        <v>96</v>
      </c>
      <c r="M8" s="131"/>
      <c r="N8" s="131"/>
      <c r="P8" t="s">
        <v>97</v>
      </c>
      <c r="Q8" s="1" t="s">
        <v>98</v>
      </c>
      <c r="R8" s="498">
        <f>9.8*2</f>
        <v>19.6</v>
      </c>
      <c r="S8" s="498"/>
    </row>
    <row r="9" spans="3:23" ht="16.5" thickBot="1">
      <c r="C9" s="35" t="s">
        <v>99</v>
      </c>
      <c r="D9" t="s">
        <v>0</v>
      </c>
      <c r="I9" t="s">
        <v>100</v>
      </c>
      <c r="M9" s="499">
        <f>+P9/1000</f>
        <v>0.0006333333333333333</v>
      </c>
      <c r="N9" s="499"/>
      <c r="O9" s="1" t="s">
        <v>98</v>
      </c>
      <c r="P9" s="500">
        <f>+U9/60</f>
        <v>0.6333333333333333</v>
      </c>
      <c r="Q9" s="500"/>
      <c r="R9" s="16" t="s">
        <v>101</v>
      </c>
      <c r="S9" s="16"/>
      <c r="T9" s="13" t="s">
        <v>98</v>
      </c>
      <c r="U9" s="510">
        <v>38</v>
      </c>
      <c r="V9" s="511"/>
      <c r="W9" t="s">
        <v>102</v>
      </c>
    </row>
    <row r="10" ht="13.5">
      <c r="U10" s="132"/>
    </row>
    <row r="11" spans="2:3" ht="15.75">
      <c r="B11" s="133" t="s">
        <v>103</v>
      </c>
      <c r="C11" s="3" t="s">
        <v>104</v>
      </c>
    </row>
    <row r="12" ht="13.5">
      <c r="B12" s="133"/>
    </row>
    <row r="13" spans="2:20" ht="13.5">
      <c r="B13" s="133" t="s">
        <v>98</v>
      </c>
      <c r="C13" t="str">
        <f>"｛0.0126+(0.01739-0.1087×"&amp;M7&amp;")/"&amp;T5&amp;"｝"&amp;"×"&amp;M6&amp;"/"&amp;M7&amp;"×"&amp;M5^2&amp;"/"&amp;R8</f>
        <v>｛0.0126+(0.01739-0.1087×0.02)/1.4198｝×1/0.02×4.0640947216/19.6</v>
      </c>
      <c r="Q13" s="134"/>
      <c r="R13" s="134"/>
      <c r="S13" s="134"/>
      <c r="T13" s="134"/>
    </row>
    <row r="14" ht="13.5">
      <c r="B14" s="133"/>
    </row>
    <row r="15" spans="2:5" ht="13.5">
      <c r="B15" s="133" t="s">
        <v>98</v>
      </c>
      <c r="C15" s="495" t="e">
        <f>ROUND([1]!textcalc(C13),4)</f>
        <v>#NAME?</v>
      </c>
      <c r="D15" s="495"/>
      <c r="E15" s="495"/>
    </row>
    <row r="16" ht="13.5">
      <c r="B16" s="133"/>
    </row>
    <row r="17" spans="2:3" ht="15.75">
      <c r="B17" s="133" t="s">
        <v>105</v>
      </c>
      <c r="C17" t="s">
        <v>106</v>
      </c>
    </row>
    <row r="18" ht="13.5">
      <c r="B18" s="133"/>
    </row>
    <row r="19" spans="2:4" ht="15.75">
      <c r="B19" s="133" t="s">
        <v>107</v>
      </c>
      <c r="C19" s="135" t="s">
        <v>108</v>
      </c>
      <c r="D19" s="135"/>
    </row>
    <row r="20" ht="13.5">
      <c r="B20" s="133"/>
    </row>
    <row r="21" spans="2:7" ht="13.5">
      <c r="B21" s="133" t="s">
        <v>98</v>
      </c>
      <c r="C21" s="494">
        <f>ROUND((4/(PI()*M7^2))*M9,5)</f>
        <v>2.01596</v>
      </c>
      <c r="D21" s="494"/>
      <c r="E21" s="136" t="s">
        <v>109</v>
      </c>
      <c r="F21" s="5"/>
      <c r="G21" s="5"/>
    </row>
    <row r="22" ht="13.5">
      <c r="B22" s="133"/>
    </row>
    <row r="23" ht="13.5">
      <c r="D23" s="137"/>
    </row>
  </sheetData>
  <sheetProtection/>
  <mergeCells count="14">
    <mergeCell ref="U2:W2"/>
    <mergeCell ref="M4:N4"/>
    <mergeCell ref="P4:Q4"/>
    <mergeCell ref="M5:N5"/>
    <mergeCell ref="T5:U5"/>
    <mergeCell ref="U9:V9"/>
    <mergeCell ref="U7:V7"/>
    <mergeCell ref="C21:D21"/>
    <mergeCell ref="C15:E15"/>
    <mergeCell ref="M6:N6"/>
    <mergeCell ref="M7:N7"/>
    <mergeCell ref="R8:S8"/>
    <mergeCell ref="M9:N9"/>
    <mergeCell ref="P9:Q9"/>
  </mergeCells>
  <printOptions/>
  <pageMargins left="0.75" right="0.75" top="1" bottom="1" header="0.512" footer="0.512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Zeros="0" zoomScale="85" zoomScaleNormal="85" zoomScaleSheetLayoutView="100" zoomScalePageLayoutView="0" workbookViewId="0" topLeftCell="A9">
      <selection activeCell="I72" sqref="I72"/>
    </sheetView>
  </sheetViews>
  <sheetFormatPr defaultColWidth="3.25390625" defaultRowHeight="13.5"/>
  <cols>
    <col min="1" max="1" width="4.25390625" style="4" customWidth="1"/>
    <col min="2" max="2" width="6.125" style="4" customWidth="1"/>
    <col min="3" max="3" width="1.37890625" style="4" customWidth="1"/>
    <col min="4" max="4" width="6.125" style="4" customWidth="1"/>
    <col min="5" max="5" width="6.75390625" style="1" customWidth="1"/>
    <col min="6" max="6" width="6.625" style="1" customWidth="1"/>
    <col min="7" max="7" width="7.125" style="0" customWidth="1"/>
    <col min="8" max="8" width="8.375" style="0" customWidth="1"/>
    <col min="9" max="9" width="9.875" style="5" customWidth="1"/>
    <col min="10" max="10" width="8.00390625" style="0" customWidth="1"/>
    <col min="11" max="11" width="6.125" style="0" customWidth="1"/>
    <col min="12" max="12" width="10.50390625" style="0" bestFit="1" customWidth="1"/>
    <col min="13" max="13" width="4.50390625" style="0" customWidth="1"/>
    <col min="14" max="14" width="11.375" style="0" customWidth="1"/>
  </cols>
  <sheetData>
    <row r="1" spans="1:14" ht="17.25">
      <c r="A1" s="456" t="s">
        <v>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8"/>
    </row>
    <row r="2" spans="1:18" s="1" customFormat="1" ht="13.5">
      <c r="A2" s="67" t="s">
        <v>10</v>
      </c>
      <c r="B2" s="28" t="s">
        <v>17</v>
      </c>
      <c r="C2" s="28"/>
      <c r="D2" s="13" t="s">
        <v>18</v>
      </c>
      <c r="E2" s="13"/>
      <c r="F2" s="14" t="s">
        <v>22</v>
      </c>
      <c r="G2" s="29" t="s">
        <v>8</v>
      </c>
      <c r="H2" s="61" t="s">
        <v>42</v>
      </c>
      <c r="I2" s="61" t="s">
        <v>127</v>
      </c>
      <c r="J2" s="118" t="s">
        <v>113</v>
      </c>
      <c r="K2" s="27"/>
      <c r="L2" s="114"/>
      <c r="M2" s="114"/>
      <c r="N2" s="115"/>
      <c r="O2" s="7"/>
      <c r="P2" s="11"/>
      <c r="R2" s="11"/>
    </row>
    <row r="3" spans="1:18" ht="13.5">
      <c r="A3" s="18">
        <v>1</v>
      </c>
      <c r="B3" s="13" t="s">
        <v>4</v>
      </c>
      <c r="C3" s="13"/>
      <c r="D3" s="12" t="s">
        <v>40</v>
      </c>
      <c r="E3" s="13"/>
      <c r="F3" s="65" t="s">
        <v>110</v>
      </c>
      <c r="G3" s="16">
        <v>13</v>
      </c>
      <c r="H3" s="19">
        <v>12</v>
      </c>
      <c r="I3" s="235">
        <f aca="true" t="shared" si="0" ref="I3:I8">+H3/60</f>
        <v>0.2</v>
      </c>
      <c r="J3" s="20"/>
      <c r="K3" s="13"/>
      <c r="L3" s="12"/>
      <c r="M3" s="16"/>
      <c r="N3" s="17"/>
      <c r="O3" s="1"/>
      <c r="R3" s="6"/>
    </row>
    <row r="4" spans="1:18" ht="13.5">
      <c r="A4" s="18">
        <v>2</v>
      </c>
      <c r="B4" s="13" t="s">
        <v>11</v>
      </c>
      <c r="C4" s="13"/>
      <c r="D4" s="12" t="s">
        <v>19</v>
      </c>
      <c r="E4" s="13"/>
      <c r="F4" s="66"/>
      <c r="G4" s="16">
        <v>13</v>
      </c>
      <c r="H4" s="19">
        <v>12</v>
      </c>
      <c r="I4" s="235">
        <f t="shared" si="0"/>
        <v>0.2</v>
      </c>
      <c r="J4" s="512"/>
      <c r="K4" s="513"/>
      <c r="L4" s="513"/>
      <c r="M4" s="513"/>
      <c r="N4" s="514"/>
      <c r="R4" s="6"/>
    </row>
    <row r="5" spans="1:18" ht="13.5">
      <c r="A5" s="18">
        <v>3</v>
      </c>
      <c r="B5" s="13" t="s">
        <v>12</v>
      </c>
      <c r="C5" s="13"/>
      <c r="D5" s="12" t="s">
        <v>20</v>
      </c>
      <c r="E5" s="13"/>
      <c r="F5" s="65" t="s">
        <v>46</v>
      </c>
      <c r="G5" s="16">
        <v>13</v>
      </c>
      <c r="H5" s="19">
        <v>12</v>
      </c>
      <c r="I5" s="235">
        <f t="shared" si="0"/>
        <v>0.2</v>
      </c>
      <c r="J5" s="512"/>
      <c r="K5" s="513"/>
      <c r="L5" s="513"/>
      <c r="M5" s="513"/>
      <c r="N5" s="514"/>
      <c r="O5" s="1"/>
      <c r="R5" s="6"/>
    </row>
    <row r="6" spans="1:18" ht="13.5">
      <c r="A6" s="18">
        <v>4</v>
      </c>
      <c r="B6" s="13" t="s">
        <v>3</v>
      </c>
      <c r="C6" s="13"/>
      <c r="D6" s="12" t="s">
        <v>39</v>
      </c>
      <c r="E6" s="13"/>
      <c r="F6" s="66"/>
      <c r="G6" s="16">
        <v>13</v>
      </c>
      <c r="H6" s="19">
        <v>6</v>
      </c>
      <c r="I6" s="235">
        <f t="shared" si="0"/>
        <v>0.1</v>
      </c>
      <c r="J6" s="20"/>
      <c r="K6" s="13"/>
      <c r="L6" s="12"/>
      <c r="M6" s="16"/>
      <c r="N6" s="17"/>
      <c r="R6" s="6"/>
    </row>
    <row r="7" spans="1:18" ht="13.5">
      <c r="A7" s="18">
        <v>5</v>
      </c>
      <c r="B7" s="13" t="s">
        <v>13</v>
      </c>
      <c r="C7" s="13"/>
      <c r="D7" s="12" t="s">
        <v>41</v>
      </c>
      <c r="E7" s="13"/>
      <c r="F7" s="65" t="s">
        <v>46</v>
      </c>
      <c r="G7" s="16">
        <v>13</v>
      </c>
      <c r="H7" s="19">
        <v>12</v>
      </c>
      <c r="I7" s="235">
        <f t="shared" si="0"/>
        <v>0.2</v>
      </c>
      <c r="J7" s="512"/>
      <c r="K7" s="513"/>
      <c r="L7" s="513"/>
      <c r="M7" s="513"/>
      <c r="N7" s="514"/>
      <c r="O7" s="1"/>
      <c r="R7" s="6"/>
    </row>
    <row r="8" spans="1:14" ht="13.5">
      <c r="A8" s="18">
        <v>6</v>
      </c>
      <c r="B8" s="13" t="s">
        <v>14</v>
      </c>
      <c r="C8" s="13"/>
      <c r="D8" s="12" t="s">
        <v>21</v>
      </c>
      <c r="E8" s="13"/>
      <c r="F8" s="65"/>
      <c r="G8" s="308">
        <v>13</v>
      </c>
      <c r="H8" s="309">
        <v>20</v>
      </c>
      <c r="I8" s="235">
        <f t="shared" si="0"/>
        <v>0.3333333333333333</v>
      </c>
      <c r="J8" s="512"/>
      <c r="K8" s="513"/>
      <c r="L8" s="513"/>
      <c r="M8" s="513"/>
      <c r="N8" s="514"/>
    </row>
    <row r="9" spans="1:14" ht="13.5">
      <c r="A9" s="18">
        <v>7</v>
      </c>
      <c r="B9" s="13" t="s">
        <v>15</v>
      </c>
      <c r="C9" s="13"/>
      <c r="D9" s="12"/>
      <c r="E9" s="13"/>
      <c r="F9" s="65"/>
      <c r="G9" s="16"/>
      <c r="H9" s="61"/>
      <c r="I9" s="15"/>
      <c r="J9" s="18"/>
      <c r="K9" s="13"/>
      <c r="L9" s="12"/>
      <c r="M9" s="16"/>
      <c r="N9" s="17"/>
    </row>
    <row r="10" spans="1:14" ht="13.5">
      <c r="A10" s="18">
        <v>8</v>
      </c>
      <c r="B10" s="13" t="s">
        <v>16</v>
      </c>
      <c r="C10" s="13"/>
      <c r="D10" s="12"/>
      <c r="E10" s="13"/>
      <c r="F10" s="65"/>
      <c r="G10" s="16"/>
      <c r="H10" s="16"/>
      <c r="I10" s="15"/>
      <c r="J10" s="18"/>
      <c r="K10" s="13"/>
      <c r="L10" s="12"/>
      <c r="M10" s="16"/>
      <c r="N10" s="17"/>
    </row>
    <row r="11" spans="1:14" ht="13.5">
      <c r="A11" s="18">
        <v>9</v>
      </c>
      <c r="B11" s="13" t="s">
        <v>23</v>
      </c>
      <c r="C11" s="13"/>
      <c r="D11" s="12"/>
      <c r="E11" s="13"/>
      <c r="F11" s="65"/>
      <c r="G11" s="16"/>
      <c r="H11" s="16"/>
      <c r="I11" s="15"/>
      <c r="J11" s="116"/>
      <c r="K11" s="16"/>
      <c r="L11" s="16"/>
      <c r="M11" s="16"/>
      <c r="N11" s="17"/>
    </row>
    <row r="12" spans="1:14" ht="13.5">
      <c r="A12" s="18">
        <v>10</v>
      </c>
      <c r="B12" s="13" t="s">
        <v>24</v>
      </c>
      <c r="C12" s="13"/>
      <c r="D12" s="12"/>
      <c r="E12" s="13"/>
      <c r="F12" s="65"/>
      <c r="G12" s="16"/>
      <c r="H12" s="16"/>
      <c r="I12" s="15"/>
      <c r="J12" s="116"/>
      <c r="K12" s="16"/>
      <c r="L12" s="16"/>
      <c r="M12" s="16"/>
      <c r="N12" s="17"/>
    </row>
    <row r="13" spans="1:14" ht="13.5">
      <c r="A13" s="18"/>
      <c r="B13" s="13"/>
      <c r="C13" s="13"/>
      <c r="D13" s="12"/>
      <c r="E13" s="13"/>
      <c r="F13" s="13"/>
      <c r="G13" s="16"/>
      <c r="H13" s="16"/>
      <c r="I13" s="15"/>
      <c r="J13" s="116"/>
      <c r="K13" s="16"/>
      <c r="L13" s="16"/>
      <c r="M13" s="16"/>
      <c r="N13" s="17"/>
    </row>
    <row r="14" spans="1:14" ht="13.5">
      <c r="A14" s="20"/>
      <c r="B14" s="12"/>
      <c r="C14" s="12"/>
      <c r="D14" s="12"/>
      <c r="E14" s="13"/>
      <c r="F14" s="13"/>
      <c r="G14" s="16"/>
      <c r="H14" s="16"/>
      <c r="I14" s="15"/>
      <c r="J14" s="116"/>
      <c r="K14" s="16"/>
      <c r="L14" s="16"/>
      <c r="M14" s="16"/>
      <c r="N14" s="17"/>
    </row>
    <row r="15" spans="1:14" ht="13.5">
      <c r="A15" s="20"/>
      <c r="B15" s="12" t="s">
        <v>38</v>
      </c>
      <c r="C15" s="12"/>
      <c r="D15" s="12"/>
      <c r="E15" s="13"/>
      <c r="F15" s="13"/>
      <c r="G15" s="16"/>
      <c r="H15" s="16"/>
      <c r="I15" s="15"/>
      <c r="J15" s="116"/>
      <c r="K15" s="16"/>
      <c r="L15" s="16"/>
      <c r="M15" s="16"/>
      <c r="N15" s="17"/>
    </row>
    <row r="16" spans="1:14" ht="13.5">
      <c r="A16" s="20"/>
      <c r="B16" s="12"/>
      <c r="C16" s="12"/>
      <c r="D16" s="12"/>
      <c r="E16" s="13"/>
      <c r="F16" s="13"/>
      <c r="G16" s="16"/>
      <c r="H16" s="16"/>
      <c r="I16" s="15"/>
      <c r="J16" s="116"/>
      <c r="K16" s="16"/>
      <c r="L16" s="16"/>
      <c r="M16" s="16"/>
      <c r="N16" s="17"/>
    </row>
    <row r="17" spans="1:14" ht="13.5">
      <c r="A17" s="21" t="s">
        <v>34</v>
      </c>
      <c r="B17" s="22"/>
      <c r="C17" s="22"/>
      <c r="D17" s="22"/>
      <c r="E17" s="23"/>
      <c r="F17" s="23"/>
      <c r="G17" s="24"/>
      <c r="H17" s="24"/>
      <c r="I17" s="25"/>
      <c r="J17" s="117"/>
      <c r="K17" s="24"/>
      <c r="L17" s="24"/>
      <c r="M17" s="24"/>
      <c r="N17" s="26"/>
    </row>
    <row r="18" spans="1:19" s="2" customFormat="1" ht="13.5">
      <c r="A18" s="459" t="s">
        <v>5</v>
      </c>
      <c r="B18" s="460"/>
      <c r="C18" s="460"/>
      <c r="D18" s="461"/>
      <c r="E18" s="52" t="s">
        <v>7</v>
      </c>
      <c r="F18" s="53" t="s">
        <v>9</v>
      </c>
      <c r="G18" s="53" t="s">
        <v>0</v>
      </c>
      <c r="H18" s="53" t="s">
        <v>25</v>
      </c>
      <c r="I18" s="54" t="s">
        <v>26</v>
      </c>
      <c r="J18" s="53" t="s">
        <v>1</v>
      </c>
      <c r="K18" s="53" t="s">
        <v>51</v>
      </c>
      <c r="L18" s="55" t="s">
        <v>2</v>
      </c>
      <c r="M18" s="517" t="s">
        <v>29</v>
      </c>
      <c r="N18" s="518"/>
      <c r="O18" s="3"/>
      <c r="Q18" s="3"/>
      <c r="R18" s="3"/>
      <c r="S18" s="3"/>
    </row>
    <row r="19" spans="1:19" s="2" customFormat="1" ht="13.5">
      <c r="A19" s="462"/>
      <c r="B19" s="463"/>
      <c r="C19" s="463"/>
      <c r="D19" s="464"/>
      <c r="E19" s="56" t="s">
        <v>27</v>
      </c>
      <c r="F19" s="57"/>
      <c r="G19" s="57" t="s">
        <v>28</v>
      </c>
      <c r="H19" s="57" t="s">
        <v>30</v>
      </c>
      <c r="I19" s="58" t="s">
        <v>31</v>
      </c>
      <c r="J19" s="59" t="s">
        <v>30</v>
      </c>
      <c r="K19" s="59" t="s">
        <v>30</v>
      </c>
      <c r="L19" s="60" t="s">
        <v>30</v>
      </c>
      <c r="M19" s="519" t="s">
        <v>30</v>
      </c>
      <c r="N19" s="520"/>
      <c r="O19" s="3"/>
      <c r="P19" s="9"/>
      <c r="Q19" s="3"/>
      <c r="R19" s="3"/>
      <c r="S19" s="3"/>
    </row>
    <row r="20" spans="1:14" ht="13.5">
      <c r="A20" s="20"/>
      <c r="B20" s="12" t="s">
        <v>55</v>
      </c>
      <c r="C20" s="12"/>
      <c r="D20" s="31"/>
      <c r="E20" s="63">
        <v>13</v>
      </c>
      <c r="F20" s="76">
        <v>1</v>
      </c>
      <c r="G20" s="34">
        <v>0.2</v>
      </c>
      <c r="H20" s="68" t="s">
        <v>44</v>
      </c>
      <c r="I20" s="36"/>
      <c r="J20" s="99">
        <v>2</v>
      </c>
      <c r="K20" s="69"/>
      <c r="L20" s="100">
        <f>SUM(J20:K20)</f>
        <v>2</v>
      </c>
      <c r="M20" s="33"/>
      <c r="N20" s="37"/>
    </row>
    <row r="21" spans="1:14" ht="13.5">
      <c r="A21" s="20"/>
      <c r="B21" s="13" t="s">
        <v>48</v>
      </c>
      <c r="C21" s="13" t="s">
        <v>47</v>
      </c>
      <c r="D21" s="30" t="s">
        <v>49</v>
      </c>
      <c r="E21" s="38">
        <v>20</v>
      </c>
      <c r="F21" s="39"/>
      <c r="G21" s="39">
        <v>0.2</v>
      </c>
      <c r="H21" s="40">
        <v>5</v>
      </c>
      <c r="I21" s="41">
        <v>33</v>
      </c>
      <c r="J21" s="70">
        <f>ROUND((H21*I21)/1000,2)</f>
        <v>0.17</v>
      </c>
      <c r="K21" s="70">
        <v>1</v>
      </c>
      <c r="L21" s="101">
        <f>SUM(J21:K21)</f>
        <v>1.17</v>
      </c>
      <c r="M21" s="43"/>
      <c r="N21" s="42"/>
    </row>
    <row r="22" spans="1:14" ht="13.5">
      <c r="A22" s="20"/>
      <c r="B22" s="13" t="s">
        <v>49</v>
      </c>
      <c r="C22" s="13" t="s">
        <v>47</v>
      </c>
      <c r="D22" s="30" t="s">
        <v>50</v>
      </c>
      <c r="E22" s="38">
        <v>25</v>
      </c>
      <c r="F22" s="39"/>
      <c r="G22" s="39">
        <v>0.2</v>
      </c>
      <c r="H22" s="40">
        <v>2.5</v>
      </c>
      <c r="I22" s="41">
        <v>29</v>
      </c>
      <c r="J22" s="70">
        <f>ROUND((H22*I22)/1000,2)</f>
        <v>0.07</v>
      </c>
      <c r="K22" s="70">
        <v>2.5</v>
      </c>
      <c r="L22" s="101">
        <f>SUM(J22:K22)</f>
        <v>2.57</v>
      </c>
      <c r="M22" s="43"/>
      <c r="N22" s="42"/>
    </row>
    <row r="23" spans="1:14" ht="13.5">
      <c r="A23" s="20"/>
      <c r="B23" s="13"/>
      <c r="C23" s="13"/>
      <c r="D23" s="30"/>
      <c r="E23" s="38"/>
      <c r="F23" s="39"/>
      <c r="G23" s="39"/>
      <c r="H23" s="40"/>
      <c r="I23" s="41"/>
      <c r="J23" s="70">
        <f>ROUND((H23*I23)/1000,2)</f>
        <v>0</v>
      </c>
      <c r="K23" s="70"/>
      <c r="L23" s="101">
        <f>SUM(J23:K23)</f>
        <v>0</v>
      </c>
      <c r="M23" s="43"/>
      <c r="N23" s="42"/>
    </row>
    <row r="24" spans="1:14" ht="13.5">
      <c r="A24" s="20"/>
      <c r="B24" s="13"/>
      <c r="C24" s="13"/>
      <c r="D24" s="30"/>
      <c r="E24" s="38"/>
      <c r="F24" s="39"/>
      <c r="G24" s="39"/>
      <c r="H24" s="40"/>
      <c r="I24" s="41"/>
      <c r="J24" s="70">
        <f>ROUND((H24*I24)/1000,2)</f>
        <v>0</v>
      </c>
      <c r="K24" s="70"/>
      <c r="L24" s="101">
        <f>SUM(J24:K24)</f>
        <v>0</v>
      </c>
      <c r="M24" s="43"/>
      <c r="N24" s="42"/>
    </row>
    <row r="25" spans="1:14" ht="13.5">
      <c r="A25" s="20"/>
      <c r="B25" s="13"/>
      <c r="C25" s="13"/>
      <c r="D25" s="30"/>
      <c r="E25" s="38"/>
      <c r="F25" s="39"/>
      <c r="G25" s="39"/>
      <c r="H25" s="40"/>
      <c r="I25" s="41"/>
      <c r="J25" s="70">
        <f>ROUND((H25*I25)/1000,2)</f>
        <v>0</v>
      </c>
      <c r="K25" s="73" t="s">
        <v>36</v>
      </c>
      <c r="L25" s="74">
        <f>SUM(L20:L24)</f>
        <v>5.74</v>
      </c>
      <c r="M25" s="43"/>
      <c r="N25" s="44"/>
    </row>
    <row r="26" spans="1:14" ht="13.5">
      <c r="A26" s="20"/>
      <c r="B26" s="13"/>
      <c r="C26" s="13"/>
      <c r="D26" s="30"/>
      <c r="E26" s="78"/>
      <c r="F26" s="79"/>
      <c r="G26" s="79"/>
      <c r="H26" s="85"/>
      <c r="I26" s="81"/>
      <c r="J26" s="82"/>
      <c r="K26" s="95"/>
      <c r="L26" s="102"/>
      <c r="M26" s="43"/>
      <c r="N26" s="44"/>
    </row>
    <row r="27" spans="1:14" ht="13.5">
      <c r="A27" s="20"/>
      <c r="B27" s="12" t="s">
        <v>52</v>
      </c>
      <c r="C27" s="12"/>
      <c r="D27" s="31"/>
      <c r="E27" s="78">
        <v>13</v>
      </c>
      <c r="F27" s="79">
        <v>1</v>
      </c>
      <c r="G27" s="79">
        <v>0.2</v>
      </c>
      <c r="H27" s="80" t="s">
        <v>43</v>
      </c>
      <c r="I27" s="81"/>
      <c r="J27" s="82">
        <v>0.8</v>
      </c>
      <c r="K27" s="83"/>
      <c r="L27" s="103">
        <f>SUM(J27:K27)</f>
        <v>0.8</v>
      </c>
      <c r="M27" s="43"/>
      <c r="N27" s="42"/>
    </row>
    <row r="28" spans="1:14" ht="13.5">
      <c r="A28" s="20"/>
      <c r="B28" s="13" t="s">
        <v>53</v>
      </c>
      <c r="C28" s="13" t="s">
        <v>6</v>
      </c>
      <c r="D28" s="30" t="s">
        <v>50</v>
      </c>
      <c r="E28" s="38">
        <v>20</v>
      </c>
      <c r="F28" s="39"/>
      <c r="G28" s="39">
        <v>0.2</v>
      </c>
      <c r="H28" s="40">
        <v>5</v>
      </c>
      <c r="I28" s="41">
        <v>33</v>
      </c>
      <c r="J28" s="70">
        <f>ROUND((H28*I28)/1000,2)</f>
        <v>0.17</v>
      </c>
      <c r="K28" s="70">
        <v>1</v>
      </c>
      <c r="L28" s="101">
        <f>SUM(J28:K28)</f>
        <v>1.17</v>
      </c>
      <c r="M28" s="43"/>
      <c r="N28" s="42"/>
    </row>
    <row r="29" spans="1:14" ht="13.5">
      <c r="A29" s="20"/>
      <c r="B29" s="13"/>
      <c r="C29" s="13"/>
      <c r="D29" s="30"/>
      <c r="E29" s="38"/>
      <c r="F29" s="39"/>
      <c r="G29" s="39"/>
      <c r="H29" s="40"/>
      <c r="I29" s="41"/>
      <c r="J29" s="70">
        <f>ROUND((H29*I29)/1000,2)</f>
        <v>0</v>
      </c>
      <c r="K29" s="70"/>
      <c r="L29" s="101">
        <f>SUM(J29:K29)</f>
        <v>0</v>
      </c>
      <c r="M29" s="43"/>
      <c r="N29" s="42"/>
    </row>
    <row r="30" spans="1:14" ht="13.5">
      <c r="A30" s="20"/>
      <c r="B30" s="13"/>
      <c r="C30" s="13"/>
      <c r="D30" s="30"/>
      <c r="E30" s="38"/>
      <c r="F30" s="39"/>
      <c r="G30" s="39"/>
      <c r="H30" s="40"/>
      <c r="I30" s="41"/>
      <c r="J30" s="70">
        <f>ROUND((H30*I30)/1000,2)</f>
        <v>0</v>
      </c>
      <c r="K30" s="70"/>
      <c r="L30" s="101">
        <f>SUM(J30:K30)</f>
        <v>0</v>
      </c>
      <c r="M30" s="43"/>
      <c r="N30" s="42"/>
    </row>
    <row r="31" spans="1:14" ht="13.5">
      <c r="A31" s="20"/>
      <c r="B31" s="13"/>
      <c r="C31" s="13"/>
      <c r="D31" s="30"/>
      <c r="E31" s="86"/>
      <c r="F31" s="87"/>
      <c r="G31" s="87"/>
      <c r="H31" s="88"/>
      <c r="I31" s="89"/>
      <c r="J31" s="104">
        <v>0</v>
      </c>
      <c r="K31" s="91" t="s">
        <v>35</v>
      </c>
      <c r="L31" s="105">
        <f>SUM(L27:L30)</f>
        <v>1.97</v>
      </c>
      <c r="M31" s="93" t="s">
        <v>45</v>
      </c>
      <c r="N31" s="94">
        <f>+L25</f>
        <v>5.74</v>
      </c>
    </row>
    <row r="32" spans="1:14" ht="13.5">
      <c r="A32" s="20"/>
      <c r="B32" s="13"/>
      <c r="C32" s="13"/>
      <c r="D32" s="30"/>
      <c r="E32" s="78"/>
      <c r="F32" s="79"/>
      <c r="G32" s="79"/>
      <c r="H32" s="85"/>
      <c r="I32" s="81"/>
      <c r="J32" s="82"/>
      <c r="K32" s="82"/>
      <c r="L32" s="106"/>
      <c r="M32" s="96"/>
      <c r="N32" s="84"/>
    </row>
    <row r="33" spans="1:14" ht="13.5">
      <c r="A33" s="20"/>
      <c r="B33" s="13" t="s">
        <v>50</v>
      </c>
      <c r="C33" s="13" t="s">
        <v>6</v>
      </c>
      <c r="D33" s="30" t="s">
        <v>54</v>
      </c>
      <c r="E33" s="38">
        <v>25</v>
      </c>
      <c r="F33" s="39"/>
      <c r="G33" s="39">
        <v>0.4</v>
      </c>
      <c r="H33" s="40">
        <v>2.5</v>
      </c>
      <c r="I33" s="41">
        <v>24</v>
      </c>
      <c r="J33" s="70">
        <f>ROUND((H33*I33)/1000,2)</f>
        <v>0.06</v>
      </c>
      <c r="K33" s="70">
        <v>2.5</v>
      </c>
      <c r="L33" s="101">
        <f>SUM(J33:K33)</f>
        <v>2.56</v>
      </c>
      <c r="M33" s="43"/>
      <c r="N33" s="42"/>
    </row>
    <row r="34" spans="1:14" ht="13.5">
      <c r="A34" s="20"/>
      <c r="B34" s="13"/>
      <c r="C34" s="13"/>
      <c r="D34" s="30"/>
      <c r="E34" s="38"/>
      <c r="F34" s="39"/>
      <c r="G34" s="39"/>
      <c r="H34" s="40"/>
      <c r="I34" s="41"/>
      <c r="J34" s="70">
        <f>ROUND((H34*I34)/1000,2)</f>
        <v>0</v>
      </c>
      <c r="K34" s="70"/>
      <c r="L34" s="101">
        <f>SUM(J34:K34)</f>
        <v>0</v>
      </c>
      <c r="M34" s="43"/>
      <c r="N34" s="42"/>
    </row>
    <row r="35" spans="1:14" ht="13.5">
      <c r="A35" s="20"/>
      <c r="B35" s="13"/>
      <c r="C35" s="13"/>
      <c r="D35" s="30"/>
      <c r="E35" s="38"/>
      <c r="F35" s="39"/>
      <c r="G35" s="39"/>
      <c r="H35" s="40"/>
      <c r="I35" s="41"/>
      <c r="J35" s="70">
        <f>ROUND((H35*I35)/1000,2)</f>
        <v>0</v>
      </c>
      <c r="K35" s="70"/>
      <c r="L35" s="101">
        <f>SUM(J35:K35)</f>
        <v>0</v>
      </c>
      <c r="M35" s="43"/>
      <c r="N35" s="42"/>
    </row>
    <row r="36" spans="1:14" ht="13.5">
      <c r="A36" s="20"/>
      <c r="B36" s="13"/>
      <c r="C36" s="13"/>
      <c r="D36" s="30"/>
      <c r="E36" s="86"/>
      <c r="F36" s="87"/>
      <c r="G36" s="87"/>
      <c r="H36" s="88"/>
      <c r="I36" s="89"/>
      <c r="J36" s="104">
        <v>0</v>
      </c>
      <c r="K36" s="91" t="s">
        <v>35</v>
      </c>
      <c r="L36" s="92">
        <f>SUM(L33:L35)</f>
        <v>2.56</v>
      </c>
      <c r="M36" s="43"/>
      <c r="N36" s="42"/>
    </row>
    <row r="37" spans="1:14" ht="13.5">
      <c r="A37" s="20"/>
      <c r="B37" s="13"/>
      <c r="C37" s="13"/>
      <c r="D37" s="30"/>
      <c r="E37" s="86"/>
      <c r="F37" s="87"/>
      <c r="G37" s="87"/>
      <c r="H37" s="88"/>
      <c r="I37" s="89"/>
      <c r="J37" s="104"/>
      <c r="K37" s="91"/>
      <c r="L37" s="105"/>
      <c r="M37" s="43"/>
      <c r="N37" s="42"/>
    </row>
    <row r="38" spans="1:14" ht="13.5">
      <c r="A38" s="20"/>
      <c r="B38" s="12" t="s">
        <v>56</v>
      </c>
      <c r="C38" s="13"/>
      <c r="D38" s="30"/>
      <c r="E38" s="86">
        <v>13</v>
      </c>
      <c r="F38" s="87">
        <v>1</v>
      </c>
      <c r="G38" s="87">
        <v>0.2</v>
      </c>
      <c r="H38" s="80" t="s">
        <v>43</v>
      </c>
      <c r="I38" s="89"/>
      <c r="J38" s="104">
        <v>0.8</v>
      </c>
      <c r="K38" s="91"/>
      <c r="L38" s="101">
        <f>SUM(J38:K38)</f>
        <v>0.8</v>
      </c>
      <c r="M38" s="43"/>
      <c r="N38" s="42"/>
    </row>
    <row r="39" spans="1:14" ht="13.5">
      <c r="A39" s="20"/>
      <c r="B39" s="13" t="s">
        <v>57</v>
      </c>
      <c r="C39" s="13" t="s">
        <v>47</v>
      </c>
      <c r="D39" s="30" t="s">
        <v>58</v>
      </c>
      <c r="E39" s="86">
        <v>20</v>
      </c>
      <c r="F39" s="87"/>
      <c r="G39" s="87">
        <v>0.2</v>
      </c>
      <c r="H39" s="88">
        <v>5</v>
      </c>
      <c r="I39" s="89">
        <v>33</v>
      </c>
      <c r="J39" s="70">
        <f>ROUND((H39*I39)/1000,2)</f>
        <v>0.17</v>
      </c>
      <c r="K39" s="91">
        <v>1.5</v>
      </c>
      <c r="L39" s="101">
        <f>SUM(J39:K39)</f>
        <v>1.67</v>
      </c>
      <c r="M39" s="43"/>
      <c r="N39" s="42"/>
    </row>
    <row r="40" spans="1:14" ht="13.5">
      <c r="A40" s="20"/>
      <c r="B40" s="13"/>
      <c r="C40" s="13"/>
      <c r="D40" s="30"/>
      <c r="E40" s="86"/>
      <c r="F40" s="87"/>
      <c r="G40" s="87"/>
      <c r="H40" s="88"/>
      <c r="I40" s="89"/>
      <c r="J40" s="104"/>
      <c r="K40" s="91"/>
      <c r="L40" s="105"/>
      <c r="M40" s="43"/>
      <c r="N40" s="42"/>
    </row>
    <row r="41" spans="1:14" ht="13.5">
      <c r="A41" s="20"/>
      <c r="B41" s="13"/>
      <c r="C41" s="13"/>
      <c r="D41" s="30"/>
      <c r="E41" s="86"/>
      <c r="F41" s="87"/>
      <c r="G41" s="87"/>
      <c r="H41" s="88"/>
      <c r="I41" s="89"/>
      <c r="J41" s="104"/>
      <c r="K41" s="91" t="s">
        <v>35</v>
      </c>
      <c r="L41" s="105">
        <f>SUM(L38:L40)</f>
        <v>2.4699999999999998</v>
      </c>
      <c r="M41" s="43" t="s">
        <v>59</v>
      </c>
      <c r="N41" s="97" t="s">
        <v>61</v>
      </c>
    </row>
    <row r="42" spans="1:14" ht="13.5">
      <c r="A42" s="20"/>
      <c r="B42" s="13"/>
      <c r="C42" s="13"/>
      <c r="D42" s="30"/>
      <c r="E42" s="86"/>
      <c r="F42" s="87"/>
      <c r="G42" s="87"/>
      <c r="H42" s="88"/>
      <c r="I42" s="89"/>
      <c r="J42" s="104"/>
      <c r="K42" s="91"/>
      <c r="L42" s="105"/>
      <c r="M42" s="43"/>
      <c r="N42" s="98">
        <f>+N31+L36</f>
        <v>8.3</v>
      </c>
    </row>
    <row r="43" spans="1:14" ht="13.5">
      <c r="A43" s="20"/>
      <c r="B43" s="13" t="s">
        <v>60</v>
      </c>
      <c r="C43" s="13" t="s">
        <v>47</v>
      </c>
      <c r="D43" s="30" t="s">
        <v>54</v>
      </c>
      <c r="E43" s="86"/>
      <c r="F43" s="87"/>
      <c r="G43" s="87"/>
      <c r="H43" s="88"/>
      <c r="I43" s="89"/>
      <c r="J43" s="90"/>
      <c r="K43" s="91"/>
      <c r="L43" s="92"/>
      <c r="M43" s="43"/>
      <c r="N43" s="42"/>
    </row>
    <row r="44" spans="1:14" ht="13.5">
      <c r="A44" s="20"/>
      <c r="B44" s="13"/>
      <c r="C44" s="13"/>
      <c r="D44" s="30"/>
      <c r="E44" s="86"/>
      <c r="F44" s="87"/>
      <c r="G44" s="87"/>
      <c r="H44" s="88"/>
      <c r="I44" s="89"/>
      <c r="J44" s="90"/>
      <c r="K44" s="91"/>
      <c r="L44" s="92"/>
      <c r="M44" s="43"/>
      <c r="N44" s="42"/>
    </row>
    <row r="45" spans="1:14" ht="13.5">
      <c r="A45" s="20"/>
      <c r="B45" s="13"/>
      <c r="C45" s="13"/>
      <c r="D45" s="30"/>
      <c r="E45" s="86"/>
      <c r="F45" s="87"/>
      <c r="G45" s="87"/>
      <c r="H45" s="88"/>
      <c r="I45" s="89"/>
      <c r="J45" s="90"/>
      <c r="K45" s="91"/>
      <c r="L45" s="92"/>
      <c r="M45" s="43"/>
      <c r="N45" s="42"/>
    </row>
    <row r="46" spans="1:14" ht="13.5">
      <c r="A46" s="20"/>
      <c r="B46" s="13" t="s">
        <v>62</v>
      </c>
      <c r="C46" s="13" t="s">
        <v>47</v>
      </c>
      <c r="D46" s="30" t="s">
        <v>63</v>
      </c>
      <c r="E46" s="38">
        <v>25</v>
      </c>
      <c r="F46" s="39"/>
      <c r="G46" s="39">
        <v>0.6</v>
      </c>
      <c r="H46" s="40">
        <v>6</v>
      </c>
      <c r="I46" s="41">
        <v>57</v>
      </c>
      <c r="J46" s="70">
        <f>ROUND((H46*I46)/1000,2)</f>
        <v>0.34</v>
      </c>
      <c r="K46" s="70">
        <v>1</v>
      </c>
      <c r="L46" s="101">
        <f aca="true" t="shared" si="1" ref="L46:L51">SUM(J46:K46)</f>
        <v>1.34</v>
      </c>
      <c r="M46" s="43"/>
      <c r="N46" s="42"/>
    </row>
    <row r="47" spans="1:14" ht="13.5">
      <c r="A47" s="20"/>
      <c r="B47" s="107" t="s">
        <v>64</v>
      </c>
      <c r="C47" s="13"/>
      <c r="D47" s="30"/>
      <c r="E47" s="38">
        <v>25</v>
      </c>
      <c r="F47" s="39">
        <v>2</v>
      </c>
      <c r="G47" s="39">
        <v>0.6</v>
      </c>
      <c r="H47" s="80" t="s">
        <v>43</v>
      </c>
      <c r="I47" s="41"/>
      <c r="J47" s="70">
        <v>0.25</v>
      </c>
      <c r="K47" s="70"/>
      <c r="L47" s="101">
        <f>+F47*J47</f>
        <v>0.5</v>
      </c>
      <c r="M47" s="43"/>
      <c r="N47" s="42"/>
    </row>
    <row r="48" spans="1:14" ht="13.5">
      <c r="A48" s="20"/>
      <c r="B48" s="13" t="s">
        <v>65</v>
      </c>
      <c r="C48" s="13"/>
      <c r="D48" s="30"/>
      <c r="E48" s="38">
        <v>25</v>
      </c>
      <c r="F48" s="39">
        <v>1</v>
      </c>
      <c r="G48" s="39">
        <v>0.6</v>
      </c>
      <c r="H48" s="80" t="s">
        <v>43</v>
      </c>
      <c r="I48" s="48"/>
      <c r="J48" s="71">
        <v>1.2</v>
      </c>
      <c r="K48" s="71"/>
      <c r="L48" s="101">
        <f>+F48*J48</f>
        <v>1.2</v>
      </c>
      <c r="M48" s="43"/>
      <c r="N48" s="46"/>
    </row>
    <row r="49" spans="1:14" ht="13.5">
      <c r="A49" s="20"/>
      <c r="B49" s="13" t="s">
        <v>66</v>
      </c>
      <c r="C49" s="13"/>
      <c r="D49" s="30"/>
      <c r="E49" s="38">
        <v>25</v>
      </c>
      <c r="F49" s="39">
        <v>1</v>
      </c>
      <c r="G49" s="39">
        <v>0.6</v>
      </c>
      <c r="H49" s="47"/>
      <c r="I49" s="48"/>
      <c r="J49" s="71">
        <v>1.8</v>
      </c>
      <c r="K49" s="71"/>
      <c r="L49" s="101">
        <f>+F49*J49</f>
        <v>1.8</v>
      </c>
      <c r="M49" s="43"/>
      <c r="N49" s="46"/>
    </row>
    <row r="50" spans="1:14" ht="13.5">
      <c r="A50" s="20"/>
      <c r="B50" s="13" t="s">
        <v>67</v>
      </c>
      <c r="C50" s="13"/>
      <c r="D50" s="30"/>
      <c r="E50" s="38">
        <v>25</v>
      </c>
      <c r="F50" s="39"/>
      <c r="G50" s="39">
        <v>0.6</v>
      </c>
      <c r="H50" s="45">
        <v>0.29</v>
      </c>
      <c r="I50" s="48">
        <v>57</v>
      </c>
      <c r="J50" s="70">
        <f>ROUND((H50*I50)/1000,2)</f>
        <v>0.02</v>
      </c>
      <c r="K50" s="71"/>
      <c r="L50" s="101">
        <f t="shared" si="1"/>
        <v>0.02</v>
      </c>
      <c r="M50" s="43"/>
      <c r="N50" s="46"/>
    </row>
    <row r="51" spans="1:14" ht="13.5">
      <c r="A51" s="20"/>
      <c r="B51" s="13" t="s">
        <v>68</v>
      </c>
      <c r="C51" s="13"/>
      <c r="D51" s="30"/>
      <c r="E51" s="38">
        <v>25</v>
      </c>
      <c r="F51" s="39"/>
      <c r="G51" s="39">
        <v>0.6</v>
      </c>
      <c r="H51" s="45">
        <v>5.7</v>
      </c>
      <c r="I51" s="48">
        <v>57</v>
      </c>
      <c r="J51" s="70">
        <f>ROUND((H51*I51)/1000,2)</f>
        <v>0.32</v>
      </c>
      <c r="K51" s="71"/>
      <c r="L51" s="101">
        <f t="shared" si="1"/>
        <v>0.32</v>
      </c>
      <c r="M51" s="43"/>
      <c r="N51" s="46"/>
    </row>
    <row r="52" spans="1:14" ht="13.5">
      <c r="A52" s="20"/>
      <c r="B52" s="13"/>
      <c r="C52" s="13"/>
      <c r="D52" s="30"/>
      <c r="E52" s="38"/>
      <c r="F52" s="39"/>
      <c r="G52" s="45"/>
      <c r="H52" s="45"/>
      <c r="I52" s="48"/>
      <c r="J52" s="71"/>
      <c r="K52" s="71"/>
      <c r="L52" s="75"/>
      <c r="M52" s="43"/>
      <c r="N52" s="46"/>
    </row>
    <row r="53" spans="1:14" ht="13.5">
      <c r="A53" s="20"/>
      <c r="B53" s="13"/>
      <c r="C53" s="13"/>
      <c r="D53" s="30"/>
      <c r="E53" s="38"/>
      <c r="F53" s="39"/>
      <c r="G53" s="45"/>
      <c r="H53" s="45"/>
      <c r="I53" s="48"/>
      <c r="J53" s="71"/>
      <c r="K53" s="73" t="s">
        <v>36</v>
      </c>
      <c r="L53" s="108">
        <f>SUM(L46:L52)</f>
        <v>5.18</v>
      </c>
      <c r="M53" s="43" t="s">
        <v>69</v>
      </c>
      <c r="N53" s="97" t="s">
        <v>71</v>
      </c>
    </row>
    <row r="54" spans="1:14" ht="13.5">
      <c r="A54" s="20"/>
      <c r="B54" s="13"/>
      <c r="C54" s="13"/>
      <c r="D54" s="30"/>
      <c r="E54" s="38"/>
      <c r="F54" s="39"/>
      <c r="G54" s="45"/>
      <c r="H54" s="45"/>
      <c r="I54" s="48"/>
      <c r="J54" s="71"/>
      <c r="K54" s="71"/>
      <c r="L54" s="109"/>
      <c r="M54" s="43"/>
      <c r="N54" s="153">
        <f>+N42+L53</f>
        <v>13.48</v>
      </c>
    </row>
    <row r="55" spans="1:14" ht="13.5">
      <c r="A55" s="20"/>
      <c r="B55" s="13"/>
      <c r="C55" s="13"/>
      <c r="D55" s="30"/>
      <c r="E55" s="38"/>
      <c r="F55" s="39"/>
      <c r="G55" s="45"/>
      <c r="H55" s="45"/>
      <c r="I55" s="48"/>
      <c r="J55" s="71"/>
      <c r="K55" s="71"/>
      <c r="L55" s="109"/>
      <c r="M55" s="43"/>
      <c r="N55" s="46"/>
    </row>
    <row r="56" spans="1:16" ht="14.25" thickBot="1">
      <c r="A56" s="20"/>
      <c r="B56" s="111" t="s">
        <v>70</v>
      </c>
      <c r="C56" s="13"/>
      <c r="D56" s="31"/>
      <c r="E56" s="64"/>
      <c r="F56" s="77"/>
      <c r="G56" s="50"/>
      <c r="H56" s="50"/>
      <c r="I56" s="51"/>
      <c r="J56" s="62"/>
      <c r="K56" s="72"/>
      <c r="L56" s="110"/>
      <c r="M56" s="49"/>
      <c r="N56" s="112">
        <f>+N54</f>
        <v>13.48</v>
      </c>
      <c r="P56" t="s">
        <v>72</v>
      </c>
    </row>
    <row r="57" spans="1:16" ht="14.25" thickBot="1">
      <c r="A57" s="489" t="s">
        <v>37</v>
      </c>
      <c r="B57" s="490"/>
      <c r="C57" s="490"/>
      <c r="D57" s="491"/>
      <c r="E57" s="121">
        <f>+N56</f>
        <v>13.48</v>
      </c>
      <c r="F57" s="32" t="s">
        <v>73</v>
      </c>
      <c r="G57" s="122">
        <f>ROUND(E57*0.0098,2)</f>
        <v>0.13</v>
      </c>
      <c r="H57" s="32" t="str">
        <f>IF(I57&gt;G57,"&gt;","&lt;")</f>
        <v>&gt;</v>
      </c>
      <c r="I57" s="123">
        <v>0.25</v>
      </c>
      <c r="J57" s="124"/>
      <c r="K57" s="515" t="str">
        <f>IF(P57="OK!","三階直結給水可能","")</f>
        <v>三階直結給水可能</v>
      </c>
      <c r="L57" s="515"/>
      <c r="M57" s="125"/>
      <c r="N57" s="126"/>
      <c r="P57" s="113" t="str">
        <f>IF(H57="&gt;","OK!","×")</f>
        <v>OK!</v>
      </c>
    </row>
    <row r="58" spans="1:14" ht="13.5">
      <c r="A58" s="20"/>
      <c r="B58" s="12"/>
      <c r="C58" s="12"/>
      <c r="D58" s="12"/>
      <c r="E58" s="13"/>
      <c r="F58" s="13"/>
      <c r="G58" s="13"/>
      <c r="H58" s="13"/>
      <c r="I58" s="61"/>
      <c r="J58" s="61"/>
      <c r="K58" s="61"/>
      <c r="L58" s="61"/>
      <c r="M58" s="61"/>
      <c r="N58" s="119"/>
    </row>
    <row r="59" spans="1:14" ht="15.75">
      <c r="A59" s="487" t="s">
        <v>32</v>
      </c>
      <c r="B59" s="488"/>
      <c r="C59" s="488"/>
      <c r="D59" s="488"/>
      <c r="E59" s="488"/>
      <c r="F59" s="516" t="s">
        <v>75</v>
      </c>
      <c r="G59" s="516"/>
      <c r="H59" s="154" t="e">
        <f>[1]!textcalc(F59)</f>
        <v>#NAME?</v>
      </c>
      <c r="I59" s="61" t="s">
        <v>74</v>
      </c>
      <c r="J59" s="16"/>
      <c r="K59" s="16"/>
      <c r="L59" s="16"/>
      <c r="M59" s="16"/>
      <c r="N59" s="119"/>
    </row>
    <row r="60" spans="1:14" ht="13.5">
      <c r="A60" s="487"/>
      <c r="B60" s="488"/>
      <c r="C60" s="488"/>
      <c r="D60" s="488"/>
      <c r="E60" s="488"/>
      <c r="F60" s="13"/>
      <c r="G60" s="16"/>
      <c r="H60" s="16"/>
      <c r="I60" s="61"/>
      <c r="J60" s="61"/>
      <c r="K60" s="61"/>
      <c r="L60" s="61"/>
      <c r="M60" s="61"/>
      <c r="N60" s="119"/>
    </row>
    <row r="61" spans="1:14" ht="13.5">
      <c r="A61" s="21"/>
      <c r="B61" s="22"/>
      <c r="C61" s="22"/>
      <c r="D61" s="22"/>
      <c r="E61" s="23"/>
      <c r="F61" s="23"/>
      <c r="G61" s="24"/>
      <c r="H61" s="24"/>
      <c r="I61" s="127"/>
      <c r="J61" s="127"/>
      <c r="K61" s="127"/>
      <c r="L61" s="127"/>
      <c r="M61" s="127"/>
      <c r="N61" s="128"/>
    </row>
    <row r="62" spans="10:11" ht="13.5">
      <c r="J62" s="8"/>
      <c r="K62" s="8"/>
    </row>
    <row r="63" spans="10:11" ht="13.5">
      <c r="J63" s="8"/>
      <c r="K63" s="8"/>
    </row>
    <row r="64" spans="10:11" ht="13.5">
      <c r="J64" s="10"/>
      <c r="K64" s="10"/>
    </row>
    <row r="65" spans="10:11" ht="13.5">
      <c r="J65" s="10"/>
      <c r="K65" s="10"/>
    </row>
    <row r="66" spans="10:11" ht="13.5">
      <c r="J66" s="10"/>
      <c r="K66" s="10"/>
    </row>
    <row r="67" spans="10:11" ht="13.5">
      <c r="J67" s="10"/>
      <c r="K67" s="10"/>
    </row>
    <row r="68" spans="10:11" ht="13.5">
      <c r="J68" s="10"/>
      <c r="K68" s="10"/>
    </row>
    <row r="69" spans="10:11" ht="13.5">
      <c r="J69" s="10"/>
      <c r="K69" s="10"/>
    </row>
    <row r="70" spans="10:11" ht="13.5">
      <c r="J70" s="10"/>
      <c r="K70" s="10"/>
    </row>
    <row r="71" spans="10:11" ht="13.5">
      <c r="J71" s="10"/>
      <c r="K71" s="10"/>
    </row>
    <row r="72" spans="10:11" ht="13.5">
      <c r="J72" s="10"/>
      <c r="K72" s="10"/>
    </row>
    <row r="73" spans="10:11" ht="13.5">
      <c r="J73" s="10"/>
      <c r="K73" s="10"/>
    </row>
    <row r="74" spans="10:11" ht="13.5">
      <c r="J74" s="10"/>
      <c r="K74" s="10"/>
    </row>
  </sheetData>
  <sheetProtection/>
  <mergeCells count="11">
    <mergeCell ref="A59:E59"/>
    <mergeCell ref="J4:N5"/>
    <mergeCell ref="J7:N8"/>
    <mergeCell ref="A60:E60"/>
    <mergeCell ref="A57:D57"/>
    <mergeCell ref="K57:L57"/>
    <mergeCell ref="A1:N1"/>
    <mergeCell ref="A18:D19"/>
    <mergeCell ref="F59:G59"/>
    <mergeCell ref="M18:N18"/>
    <mergeCell ref="M19:N19"/>
  </mergeCells>
  <conditionalFormatting sqref="P57">
    <cfRule type="cellIs" priority="1" dxfId="13" operator="equal" stopIfTrue="1">
      <formula>"OK!"</formula>
    </cfRule>
    <cfRule type="cellIs" priority="2" dxfId="14" operator="equal" stopIfTrue="1">
      <formula>"×"</formula>
    </cfRule>
  </conditionalFormatting>
  <printOptions/>
  <pageMargins left="0.74" right="0.1968503937007874" top="0.6299212598425197" bottom="0.41" header="0.5118110236220472" footer="0.2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tsurugi</dc:creator>
  <cp:keywords/>
  <dc:description/>
  <cp:lastModifiedBy>鶴見裕一</cp:lastModifiedBy>
  <cp:lastPrinted>2012-01-19T07:47:35Z</cp:lastPrinted>
  <dcterms:created xsi:type="dcterms:W3CDTF">2009-01-14T07:30:29Z</dcterms:created>
  <dcterms:modified xsi:type="dcterms:W3CDTF">2014-03-21T07:16:58Z</dcterms:modified>
  <cp:category/>
  <cp:version/>
  <cp:contentType/>
  <cp:contentStatus/>
</cp:coreProperties>
</file>